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4C221D80-EA75-4F8B-8C17-F5CF36A73470}" xr6:coauthVersionLast="36" xr6:coauthVersionMax="36" xr10:uidLastSave="{00000000-0000-0000-0000-000000000000}"/>
  <bookViews>
    <workbookView xWindow="0" yWindow="0" windowWidth="19200" windowHeight="6930" xr2:uid="{FA52D199-C028-419A-AE42-7F1EA793CA04}"/>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2020'!$A$5:$Z$39</definedName>
    <definedName name="_xlnm.Print_Area" localSheetId="0">'Adquisiciones 2020'!$A$1:$Z$194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4" i="1" l="1"/>
  <c r="N182" i="1"/>
  <c r="M182" i="1" s="1"/>
  <c r="L182" i="1" s="1"/>
  <c r="M181" i="1"/>
  <c r="L181" i="1" s="1"/>
  <c r="M180" i="1"/>
  <c r="L180" i="1" s="1"/>
  <c r="M179" i="1"/>
  <c r="L179" i="1" s="1"/>
  <c r="M178" i="1"/>
  <c r="L178" i="1" s="1"/>
  <c r="M177" i="1"/>
  <c r="L177" i="1" s="1"/>
  <c r="M176" i="1"/>
  <c r="L176" i="1" s="1"/>
  <c r="N175" i="1"/>
  <c r="M175" i="1" s="1"/>
  <c r="L175" i="1" s="1"/>
  <c r="M174" i="1"/>
  <c r="L174" i="1" s="1"/>
  <c r="M173" i="1"/>
  <c r="L173" i="1" s="1"/>
  <c r="N172" i="1"/>
  <c r="M172" i="1" s="1"/>
  <c r="L172" i="1" s="1"/>
  <c r="N171" i="1"/>
  <c r="M171" i="1" s="1"/>
  <c r="L171" i="1" s="1"/>
  <c r="M170" i="1"/>
  <c r="L170" i="1" s="1"/>
  <c r="N169" i="1"/>
  <c r="M169" i="1" s="1"/>
  <c r="L169" i="1" s="1"/>
  <c r="M168" i="1"/>
  <c r="L168" i="1" s="1"/>
  <c r="N167" i="1"/>
  <c r="M167" i="1" s="1"/>
  <c r="L167" i="1" s="1"/>
  <c r="N166" i="1"/>
  <c r="M166" i="1" s="1"/>
  <c r="L166" i="1" s="1"/>
  <c r="M165" i="1"/>
  <c r="L165" i="1" s="1"/>
  <c r="M164" i="1"/>
  <c r="L164" i="1" s="1"/>
  <c r="M163" i="1"/>
  <c r="L163" i="1" s="1"/>
  <c r="M162" i="1"/>
  <c r="L162" i="1" s="1"/>
  <c r="M161" i="1"/>
  <c r="L161" i="1" s="1"/>
  <c r="M160" i="1"/>
  <c r="L160" i="1" s="1"/>
  <c r="N159" i="1"/>
  <c r="M159" i="1" s="1"/>
  <c r="L159" i="1" s="1"/>
  <c r="P158" i="1"/>
  <c r="O158" i="1"/>
  <c r="N158" i="1"/>
  <c r="M158" i="1" s="1"/>
  <c r="L158" i="1" s="1"/>
  <c r="M157" i="1"/>
  <c r="L157" i="1" s="1"/>
  <c r="M156" i="1"/>
  <c r="L156" i="1" s="1"/>
  <c r="M155" i="1"/>
  <c r="L155" i="1" s="1"/>
  <c r="M154" i="1"/>
  <c r="L154" i="1" s="1"/>
  <c r="M153" i="1"/>
  <c r="L153" i="1" s="1"/>
  <c r="M152" i="1"/>
  <c r="L152" i="1" s="1"/>
  <c r="M151" i="1"/>
  <c r="L151" i="1" s="1"/>
  <c r="M150" i="1"/>
  <c r="L150" i="1" s="1"/>
  <c r="M149" i="1"/>
  <c r="L149" i="1" s="1"/>
  <c r="M148" i="1"/>
  <c r="L148" i="1" s="1"/>
  <c r="M147" i="1"/>
  <c r="L147" i="1" s="1"/>
  <c r="M146" i="1"/>
  <c r="L146" i="1" s="1"/>
  <c r="M145" i="1"/>
  <c r="L145" i="1" s="1"/>
  <c r="M144" i="1"/>
  <c r="L144" i="1" s="1"/>
  <c r="M143" i="1"/>
  <c r="L143" i="1"/>
  <c r="M142" i="1"/>
  <c r="L142" i="1" s="1"/>
  <c r="M141" i="1"/>
  <c r="L141" i="1"/>
  <c r="M140" i="1"/>
  <c r="L140" i="1" s="1"/>
  <c r="M139" i="1"/>
  <c r="L139" i="1"/>
  <c r="M138" i="1"/>
  <c r="L138" i="1" s="1"/>
  <c r="M137" i="1"/>
  <c r="L137" i="1" s="1"/>
  <c r="M136" i="1"/>
  <c r="L136" i="1" s="1"/>
  <c r="M135" i="1"/>
  <c r="L135" i="1" s="1"/>
  <c r="M134" i="1"/>
  <c r="L134" i="1" s="1"/>
  <c r="M133" i="1"/>
  <c r="L133" i="1" s="1"/>
  <c r="M132" i="1"/>
  <c r="L132" i="1" s="1"/>
  <c r="M131" i="1"/>
  <c r="L131" i="1" s="1"/>
  <c r="M130" i="1"/>
  <c r="L130" i="1" s="1"/>
  <c r="M129" i="1"/>
  <c r="L129" i="1" s="1"/>
  <c r="O128" i="1"/>
  <c r="M128" i="1" s="1"/>
  <c r="L128" i="1" s="1"/>
  <c r="O127" i="1"/>
  <c r="M127" i="1" s="1"/>
  <c r="L127" i="1" s="1"/>
  <c r="M126" i="1"/>
  <c r="L126" i="1" s="1"/>
  <c r="M125" i="1"/>
  <c r="L125" i="1" s="1"/>
  <c r="M124" i="1"/>
  <c r="L124" i="1" s="1"/>
  <c r="M123" i="1"/>
  <c r="L123" i="1" s="1"/>
  <c r="M122" i="1"/>
  <c r="L122" i="1" s="1"/>
  <c r="M121" i="1"/>
  <c r="L121" i="1" s="1"/>
  <c r="M120" i="1"/>
  <c r="L120" i="1" s="1"/>
  <c r="M119" i="1"/>
  <c r="L119" i="1" s="1"/>
  <c r="M118" i="1"/>
  <c r="L118" i="1" s="1"/>
  <c r="M117" i="1"/>
  <c r="L117" i="1"/>
  <c r="M116" i="1"/>
  <c r="L116" i="1" s="1"/>
  <c r="N115" i="1"/>
  <c r="M115" i="1" s="1"/>
  <c r="L115" i="1" s="1"/>
  <c r="M114" i="1"/>
  <c r="L114" i="1" s="1"/>
  <c r="N113" i="1"/>
  <c r="M113" i="1" s="1"/>
  <c r="L113" i="1" s="1"/>
  <c r="M112" i="1"/>
  <c r="L112" i="1" s="1"/>
  <c r="M111" i="1"/>
  <c r="L111" i="1" s="1"/>
  <c r="N110" i="1"/>
  <c r="M110" i="1" s="1"/>
  <c r="L110" i="1" s="1"/>
  <c r="M109" i="1"/>
  <c r="L109" i="1" s="1"/>
  <c r="N108" i="1"/>
  <c r="M108" i="1" s="1"/>
  <c r="L108" i="1" s="1"/>
  <c r="N107" i="1"/>
  <c r="M107" i="1" s="1"/>
  <c r="L107" i="1" s="1"/>
  <c r="N106" i="1"/>
  <c r="M106" i="1" s="1"/>
  <c r="L106" i="1" s="1"/>
  <c r="M105" i="1"/>
  <c r="L105" i="1" s="1"/>
  <c r="M104" i="1"/>
  <c r="L104" i="1" s="1"/>
  <c r="M103" i="1"/>
  <c r="L103" i="1" s="1"/>
  <c r="M102" i="1"/>
  <c r="L102" i="1" s="1"/>
  <c r="M101" i="1"/>
  <c r="L101" i="1" s="1"/>
  <c r="M100" i="1"/>
  <c r="L100" i="1" s="1"/>
  <c r="M99" i="1"/>
  <c r="L99" i="1" s="1"/>
  <c r="M98" i="1"/>
  <c r="L98" i="1" s="1"/>
  <c r="M97" i="1"/>
  <c r="L97" i="1" s="1"/>
  <c r="O96" i="1"/>
  <c r="M96" i="1" s="1"/>
  <c r="L96" i="1" s="1"/>
  <c r="M95" i="1"/>
  <c r="L95" i="1" s="1"/>
  <c r="M94" i="1"/>
  <c r="L94" i="1" s="1"/>
  <c r="M93" i="1"/>
  <c r="L93" i="1" s="1"/>
  <c r="M92" i="1"/>
  <c r="L92" i="1" s="1"/>
  <c r="M91" i="1"/>
  <c r="L91" i="1" s="1"/>
  <c r="P90" i="1"/>
  <c r="M90" i="1"/>
  <c r="N89" i="1"/>
  <c r="M89" i="1" s="1"/>
  <c r="L89" i="1" s="1"/>
  <c r="M88" i="1"/>
  <c r="L88" i="1" s="1"/>
  <c r="M87" i="1"/>
  <c r="L87" i="1" s="1"/>
  <c r="M86" i="1"/>
  <c r="L86" i="1" s="1"/>
  <c r="N85" i="1"/>
  <c r="M85" i="1" s="1"/>
  <c r="L85" i="1" s="1"/>
  <c r="M84" i="1"/>
  <c r="L84" i="1" s="1"/>
  <c r="M83" i="1"/>
  <c r="L83" i="1" s="1"/>
  <c r="N82" i="1"/>
  <c r="M82" i="1" s="1"/>
  <c r="L82" i="1" s="1"/>
  <c r="N81" i="1"/>
  <c r="M81" i="1" s="1"/>
  <c r="L81" i="1" s="1"/>
  <c r="N80" i="1"/>
  <c r="M80" i="1" s="1"/>
  <c r="L80" i="1" s="1"/>
  <c r="N79" i="1"/>
  <c r="M79" i="1" s="1"/>
  <c r="L79" i="1" s="1"/>
  <c r="M78" i="1"/>
  <c r="L78" i="1" s="1"/>
  <c r="M77" i="1"/>
  <c r="L77" i="1" s="1"/>
  <c r="M76" i="1"/>
  <c r="L76" i="1" s="1"/>
  <c r="M75" i="1"/>
  <c r="L75" i="1" s="1"/>
  <c r="M74" i="1"/>
  <c r="L74" i="1" s="1"/>
  <c r="M73" i="1"/>
  <c r="L73" i="1" s="1"/>
  <c r="M72" i="1"/>
  <c r="L72" i="1" s="1"/>
  <c r="M71" i="1"/>
  <c r="L71" i="1" s="1"/>
  <c r="N70" i="1"/>
  <c r="M70" i="1" s="1"/>
  <c r="L70" i="1" s="1"/>
  <c r="M69" i="1"/>
  <c r="L69" i="1" s="1"/>
  <c r="N68" i="1"/>
  <c r="M68" i="1" s="1"/>
  <c r="L68" i="1" s="1"/>
  <c r="M67" i="1"/>
  <c r="L67" i="1" s="1"/>
  <c r="M66" i="1"/>
  <c r="L66" i="1" s="1"/>
  <c r="M65" i="1"/>
  <c r="L65" i="1" s="1"/>
  <c r="N64" i="1"/>
  <c r="M64" i="1"/>
  <c r="L64" i="1" s="1"/>
  <c r="N63" i="1"/>
  <c r="M63" i="1" s="1"/>
  <c r="L63" i="1" s="1"/>
  <c r="P62" i="1"/>
  <c r="O62" i="1"/>
  <c r="M62" i="1" s="1"/>
  <c r="N62" i="1"/>
  <c r="M61" i="1"/>
  <c r="L61" i="1" s="1"/>
  <c r="O60" i="1"/>
  <c r="N60" i="1"/>
  <c r="M59" i="1"/>
  <c r="L59" i="1" s="1"/>
  <c r="M58" i="1"/>
  <c r="L58" i="1" s="1"/>
  <c r="M57" i="1"/>
  <c r="L57" i="1" s="1"/>
  <c r="M56" i="1"/>
  <c r="L56" i="1" s="1"/>
  <c r="M55" i="1"/>
  <c r="L55" i="1" s="1"/>
  <c r="M54" i="1"/>
  <c r="L54" i="1" s="1"/>
  <c r="M53" i="1"/>
  <c r="L53" i="1" s="1"/>
  <c r="O52" i="1"/>
  <c r="M52" i="1" s="1"/>
  <c r="L52" i="1" s="1"/>
  <c r="N52" i="1"/>
  <c r="M51" i="1"/>
  <c r="L51" i="1" s="1"/>
  <c r="M50" i="1"/>
  <c r="L50" i="1" s="1"/>
  <c r="M49" i="1"/>
  <c r="L49" i="1" s="1"/>
  <c r="M48" i="1"/>
  <c r="L48" i="1" s="1"/>
  <c r="O47" i="1"/>
  <c r="N47" i="1"/>
  <c r="N184" i="1" s="1"/>
  <c r="P184" i="1" s="1"/>
  <c r="M46" i="1"/>
  <c r="L46" i="1" s="1"/>
  <c r="M45" i="1"/>
  <c r="L45" i="1" s="1"/>
  <c r="M44" i="1"/>
  <c r="L44" i="1" s="1"/>
  <c r="M43" i="1"/>
  <c r="L43" i="1" s="1"/>
  <c r="M42" i="1"/>
  <c r="L42" i="1" s="1"/>
  <c r="M41" i="1"/>
  <c r="L41" i="1"/>
  <c r="M40" i="1"/>
  <c r="L40" i="1" s="1"/>
  <c r="M39" i="1"/>
  <c r="L39" i="1" s="1"/>
  <c r="M38" i="1"/>
  <c r="L38" i="1" s="1"/>
  <c r="O37" i="1"/>
  <c r="N37" i="1"/>
  <c r="O36" i="1"/>
  <c r="N36" i="1"/>
  <c r="O35" i="1"/>
  <c r="N35" i="1"/>
  <c r="O34" i="1"/>
  <c r="N34" i="1"/>
  <c r="M33" i="1"/>
  <c r="L33" i="1" s="1"/>
  <c r="M32" i="1"/>
  <c r="L32" i="1"/>
  <c r="N31" i="1"/>
  <c r="M31" i="1" s="1"/>
  <c r="L31" i="1" s="1"/>
  <c r="O30" i="1"/>
  <c r="N30" i="1"/>
  <c r="M30" i="1" s="1"/>
  <c r="L30" i="1" s="1"/>
  <c r="O29" i="1"/>
  <c r="N29" i="1"/>
  <c r="O28" i="1"/>
  <c r="N28" i="1"/>
  <c r="M27" i="1"/>
  <c r="L27" i="1" s="1"/>
  <c r="O26" i="1"/>
  <c r="M26" i="1" s="1"/>
  <c r="L26" i="1" s="1"/>
  <c r="M25" i="1"/>
  <c r="L25" i="1" s="1"/>
  <c r="M24" i="1"/>
  <c r="L24" i="1" s="1"/>
  <c r="N23" i="1"/>
  <c r="M23" i="1" s="1"/>
  <c r="L23" i="1" s="1"/>
  <c r="N22" i="1"/>
  <c r="M22" i="1" s="1"/>
  <c r="L22" i="1" s="1"/>
  <c r="O21" i="1"/>
  <c r="N21" i="1"/>
  <c r="M20" i="1"/>
  <c r="L20" i="1" s="1"/>
  <c r="O19" i="1"/>
  <c r="N19" i="1"/>
  <c r="M18" i="1"/>
  <c r="L18" i="1" s="1"/>
  <c r="O17" i="1"/>
  <c r="M17" i="1" s="1"/>
  <c r="L17" i="1" s="1"/>
  <c r="M16" i="1"/>
  <c r="L16" i="1" s="1"/>
  <c r="N15" i="1"/>
  <c r="M15" i="1" s="1"/>
  <c r="L15" i="1" s="1"/>
  <c r="O14" i="1"/>
  <c r="N14" i="1"/>
  <c r="M13" i="1"/>
  <c r="L13" i="1" s="1"/>
  <c r="M12" i="1"/>
  <c r="L12" i="1" s="1"/>
  <c r="M11" i="1"/>
  <c r="L11" i="1" s="1"/>
  <c r="M10" i="1"/>
  <c r="L10" i="1" s="1"/>
  <c r="M9" i="1"/>
  <c r="L9" i="1" s="1"/>
  <c r="M8" i="1"/>
  <c r="L8" i="1" s="1"/>
  <c r="M7" i="1"/>
  <c r="L7" i="1" s="1"/>
  <c r="M6" i="1"/>
  <c r="L6" i="1"/>
  <c r="M14" i="1" l="1"/>
  <c r="L14" i="1" s="1"/>
  <c r="L90" i="1"/>
  <c r="M21" i="1"/>
  <c r="L21" i="1" s="1"/>
  <c r="L62" i="1"/>
  <c r="M29" i="1"/>
  <c r="L29" i="1" s="1"/>
  <c r="M28" i="1"/>
  <c r="L28" i="1" s="1"/>
  <c r="M47" i="1"/>
  <c r="L47" i="1" s="1"/>
  <c r="M34" i="1"/>
  <c r="L34" i="1" s="1"/>
  <c r="M37" i="1"/>
  <c r="L37" i="1" s="1"/>
  <c r="M60" i="1"/>
  <c r="L60" i="1" s="1"/>
  <c r="M35" i="1"/>
  <c r="L35" i="1" s="1"/>
  <c r="M36" i="1"/>
  <c r="L36" i="1" s="1"/>
  <c r="M19" i="1"/>
  <c r="L19" i="1" s="1"/>
  <c r="M18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Leonardo Segundo Villamil Huertas</author>
    <author>Luisa Fernanda Castro Támara</author>
    <author>Sergio Daniel Perez Pintor</author>
  </authors>
  <commentList>
    <comment ref="N22" authorId="0" shapeId="0" xr:uid="{6C730A08-41BF-475C-BE66-F859A2C7C513}">
      <text>
        <r>
          <rPr>
            <b/>
            <sz val="9"/>
            <color indexed="81"/>
            <rFont val="Tahoma"/>
            <family val="2"/>
          </rPr>
          <t>Lucy Gonzalez Rodriguez:</t>
        </r>
        <r>
          <rPr>
            <sz val="9"/>
            <color indexed="81"/>
            <rFont val="Tahoma"/>
            <family val="2"/>
          </rPr>
          <t xml:space="preserve">
Recursos de Inversión</t>
        </r>
      </text>
    </comment>
    <comment ref="O22" authorId="0" shapeId="0" xr:uid="{B62A04DD-D4EA-4551-BBF3-F76A215C4D4C}">
      <text>
        <r>
          <rPr>
            <b/>
            <sz val="9"/>
            <color indexed="81"/>
            <rFont val="Tahoma"/>
            <family val="2"/>
          </rPr>
          <t>Lucy Gonzalez Rodriguez:</t>
        </r>
        <r>
          <rPr>
            <sz val="9"/>
            <color indexed="81"/>
            <rFont val="Tahoma"/>
            <family val="2"/>
          </rPr>
          <t xml:space="preserve">
Recursos de Inversión</t>
        </r>
      </text>
    </comment>
    <comment ref="N24" authorId="0" shapeId="0" xr:uid="{6E6E2931-BDB2-48FA-B6F3-B6983B0B30F9}">
      <text>
        <r>
          <rPr>
            <b/>
            <sz val="9"/>
            <color indexed="81"/>
            <rFont val="Tahoma"/>
            <family val="2"/>
          </rPr>
          <t>Lucy Gonzalez Rodriguez:</t>
        </r>
        <r>
          <rPr>
            <sz val="9"/>
            <color indexed="81"/>
            <rFont val="Tahoma"/>
            <family val="2"/>
          </rPr>
          <t xml:space="preserve">
Recursos de Inversión</t>
        </r>
      </text>
    </comment>
    <comment ref="O24" authorId="1" shapeId="0" xr:uid="{7ED31EBF-4242-4F5E-8D69-5D4C7E083EF0}">
      <text>
        <r>
          <rPr>
            <b/>
            <sz val="9"/>
            <color indexed="81"/>
            <rFont val="Tahoma"/>
            <family val="2"/>
          </rPr>
          <t>Leonardo Segundo Villamil Huertas:</t>
        </r>
        <r>
          <rPr>
            <sz val="9"/>
            <color indexed="81"/>
            <rFont val="Tahoma"/>
            <family val="2"/>
          </rPr>
          <t xml:space="preserve">
Estrategia indigena en temas de reincorporacion para aprobarla en su comunidad - refrigerios - lugares - etc</t>
        </r>
      </text>
    </comment>
    <comment ref="P31" authorId="2" shapeId="0" xr:uid="{BC67E5AE-9CCE-4B31-AD10-CB2864791EE5}">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P33" authorId="2" shapeId="0" xr:uid="{7C70BEC0-3C79-4499-827A-696FB4CC02E7}">
      <text>
        <r>
          <rPr>
            <b/>
            <sz val="9"/>
            <color indexed="81"/>
            <rFont val="Tahoma"/>
            <family val="2"/>
          </rPr>
          <t>Luisa Fernanda Castro Támara:</t>
        </r>
        <r>
          <rPr>
            <sz val="9"/>
            <color indexed="81"/>
            <rFont val="Tahoma"/>
            <family val="2"/>
          </rPr>
          <t xml:space="preserve">
Incremento del 3%
Valor mensual
</t>
        </r>
      </text>
    </comment>
    <comment ref="N53" authorId="3" shapeId="0" xr:uid="{EC25D202-0EBE-42C4-B331-A17BBC0B9149}">
      <text>
        <r>
          <rPr>
            <b/>
            <sz val="9"/>
            <color indexed="81"/>
            <rFont val="Tahoma"/>
            <family val="2"/>
          </rPr>
          <t>Sergio Daniel Perez Pintor:</t>
        </r>
        <r>
          <rPr>
            <sz val="9"/>
            <color indexed="81"/>
            <rFont val="Tahoma"/>
            <family val="2"/>
          </rPr>
          <t xml:space="preserve">
Valor mensual por 12 meses</t>
        </r>
      </text>
    </comment>
    <comment ref="S62" authorId="3" shapeId="0" xr:uid="{D1C1B891-68CD-485A-8540-8D300DEFD42C}">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<sst xmlns="http://schemas.openxmlformats.org/spreadsheetml/2006/main" count="2930" uniqueCount="494">
  <si>
    <t>Tabla de Consolidación de necesidades por Dependencia - Plan Anual de Adquisiciones 2020</t>
  </si>
  <si>
    <t>Dependencia Responsable (Selección la que corresponde)</t>
  </si>
  <si>
    <t>Código UNSPSC (cada código separado por ;)</t>
  </si>
  <si>
    <t>Descripción (bien o servicio requerido a contratar)</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</si>
  <si>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</si>
  <si>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</si>
  <si>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</si>
  <si>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</si>
  <si>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</si>
  <si>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</si>
  <si>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</si>
  <si>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</si>
  <si>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</si>
  <si>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</si>
  <si>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</si>
  <si>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</si>
  <si>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</si>
  <si>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</si>
  <si>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</si>
  <si>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</si>
  <si>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</si>
  <si>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</si>
  <si>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</si>
  <si>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</si>
  <si>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</si>
  <si>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</si>
  <si>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</si>
  <si>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</si>
  <si>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</si>
  <si>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</si>
  <si>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t>
    </r>
  </si>
  <si>
    <t>Junio</t>
  </si>
  <si>
    <t>Meses</t>
  </si>
  <si>
    <t>Contratación Directa</t>
  </si>
  <si>
    <t>Acciones comunitarias para el fortalecimiento del liderazgo y la participación de las mujeres</t>
  </si>
  <si>
    <t>A-03-03-01-001</t>
  </si>
  <si>
    <t>No</t>
  </si>
  <si>
    <t>No aplica</t>
  </si>
  <si>
    <t>Maria del Pilar Ruiz</t>
  </si>
  <si>
    <t>Grupo de Gestión Contractual</t>
  </si>
  <si>
    <t>Bogotá</t>
  </si>
  <si>
    <t>Javier Mauricio Mosquera Lasso</t>
  </si>
  <si>
    <t>4430020 
Ext 10600</t>
  </si>
  <si>
    <t>javiermosquera@reincorporacion.gov.co</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</si>
  <si>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</si>
  <si>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</si>
  <si>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</si>
  <si>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</si>
  <si>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</si>
  <si>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</si>
  <si>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</si>
  <si>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</si>
  <si>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</si>
  <si>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</si>
  <si>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</si>
  <si>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</si>
  <si>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</si>
  <si>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</si>
  <si>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</si>
  <si>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</si>
  <si>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 xml:space="preserve">Acciones para el fortalecimiento de las capacidades en las comunidades y promoción de la reconciliación </t>
  </si>
  <si>
    <t>DPR - Subdirección Territorial - Grupo de Diseño</t>
  </si>
  <si>
    <t xml:space="preserve">Contratar procesos de Implementación de la estrategia de cuidado al cuidador </t>
  </si>
  <si>
    <t>Marzo</t>
  </si>
  <si>
    <t>Abril</t>
  </si>
  <si>
    <t>Selección Abreviada -Literal H</t>
  </si>
  <si>
    <t>Implementación de la estrategia de cuidado al cuidador</t>
  </si>
  <si>
    <t>En Tramite</t>
  </si>
  <si>
    <t>Francine Botero Garnica</t>
  </si>
  <si>
    <t>Contratar procesos de formación y fortalecimiento del capital social para el impulso y participación activa en el proceso de reincorporación, dirigidos a líderes exintegrantes FARC-EP residentes en el territorio nacional</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</si>
  <si>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</si>
  <si>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</si>
  <si>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t>Amparar la contratación del Seguro de Vida para personas acreditadas como desmovilizados por las autoridades competentes</t>
  </si>
  <si>
    <t>Febrero</t>
  </si>
  <si>
    <t>12</t>
  </si>
  <si>
    <t>Licitación Pública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</si>
  <si>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</si>
  <si>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</si>
  <si>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86101700               80111500</t>
  </si>
  <si>
    <t>Aunar recursos técnicos, humanos y financieros entre la ARN y OIM para la implementación de mecanismos de fortalecimiento y formación para el sostenimiento económico de la población objeto de atención de la ARN.</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</si>
  <si>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</si>
  <si>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</si>
  <si>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t>Sheila Sanín Pombo</t>
  </si>
  <si>
    <t>DPR - Subdirección de Seguimiento</t>
  </si>
  <si>
    <t>80101603
80101600
81131500
80101500
80141500
93141500
93141600</t>
  </si>
  <si>
    <t>Realizar una evaluación de operaciones y resultados del Proceso de Reintegración Especial de Justicia y Paz que desarrolla la Agencia para la Reincorporación y la Normalización –ARN–, conforme a lo establecido en el Anexo No. 1 “Especificaciones Técnicas Mínimas”.</t>
  </si>
  <si>
    <t>Evaluación de procesos misionales de la Entidad</t>
  </si>
  <si>
    <t>María Paola Molina</t>
  </si>
  <si>
    <t>DPR - Subdirección Territorial - Equipo de Generación de Ingresos</t>
  </si>
  <si>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</si>
  <si>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</si>
  <si>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</si>
  <si>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</si>
  <si>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</si>
  <si>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</si>
  <si>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</si>
  <si>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t>Aunar esfuerzos entre la ARN y la Unidad Nacional de Protección (UNP) para agilizar los tiempos de respuestas frente a las evaluaciones de riesgo de los beneficiarios y colaboradores de la Agencia. Contrato N° 1040 de 2020</t>
  </si>
  <si>
    <t>Convenio Unidad Nacional de Protección</t>
  </si>
  <si>
    <t xml:space="preserve">Contrato </t>
  </si>
  <si>
    <t>William Fonseca Flórez</t>
  </si>
  <si>
    <t>DPR - Subdirección Territorial - Grupo de Articulación Territorial</t>
  </si>
  <si>
    <t>86111500
86111600
86121500
86141500</t>
  </si>
  <si>
    <r>
      <rPr>
        <sz val="11"/>
        <color theme="1"/>
        <rFont val="Arial"/>
        <family val="2"/>
      </rPr>
      <t>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t>
    </r>
    <r>
      <rPr>
        <sz val="11"/>
        <color rgb="FFFF0000"/>
        <rFont val="Arial"/>
        <family val="2"/>
      </rPr>
      <t xml:space="preserve">
</t>
    </r>
  </si>
  <si>
    <t xml:space="preserve">Implementación del Modelo de Educacion y Formación para Adultos                       </t>
  </si>
  <si>
    <t>Ana María Villamil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</si>
  <si>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</si>
  <si>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</si>
  <si>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</si>
  <si>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</si>
  <si>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0</t>
  </si>
  <si>
    <t>4430020 
Ext 10601</t>
  </si>
  <si>
    <t>86111500
86111600
86130000
86121500</t>
  </si>
  <si>
    <t>Facilitar el acceso de la poblacion objeto de atención de la entidad a los servicios educativos en modalidades flexibles (semipresencial, virtual o por módulos) y con capacidad de cobertura en lugares de dispersión y difiícil acceso</t>
  </si>
  <si>
    <t>Desarrollo de modelos educativos flexibles para jóvenes y adultos</t>
  </si>
  <si>
    <t>DPR - Subdirección Territorial - Equipo de Enfoque Diferencial</t>
  </si>
  <si>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</si>
  <si>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</si>
  <si>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</si>
  <si>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</si>
  <si>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Adriana López Mesa</t>
  </si>
  <si>
    <r>
      <t xml:space="preserve">Diseñar y realizar la </t>
    </r>
    <r>
      <rPr>
        <b/>
        <sz val="11"/>
        <color theme="1"/>
        <rFont val="Arial"/>
        <family val="2"/>
      </rPr>
      <t xml:space="preserve">consulta previa </t>
    </r>
    <r>
      <rPr>
        <sz val="11"/>
        <color theme="1"/>
        <rFont val="Arial"/>
        <family val="2"/>
      </rPr>
      <t>del  Proyecto del Programa Especial de Armonización para la Reintegración y Reincorporación Social y Económica con Enfoque Diferencial Étnico y de Género dirigido a población indígena</t>
    </r>
  </si>
  <si>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</si>
  <si>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</si>
  <si>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</si>
  <si>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</si>
  <si>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</si>
  <si>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</si>
  <si>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</si>
  <si>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</si>
  <si>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</si>
  <si>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</si>
  <si>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Dirección Programática de Reintegración</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</si>
  <si>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</si>
  <si>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</si>
  <si>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</si>
  <si>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</si>
  <si>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</si>
  <si>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</si>
  <si>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</si>
  <si>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</si>
  <si>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</si>
  <si>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</si>
  <si>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</si>
  <si>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</si>
  <si>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</si>
  <si>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</si>
  <si>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</si>
  <si>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</si>
  <si>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</si>
  <si>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</si>
  <si>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</si>
  <si>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</si>
  <si>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</si>
  <si>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</si>
  <si>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r>
      <t xml:space="preserve">Servicio de vigilancia y seguridad privada </t>
    </r>
    <r>
      <rPr>
        <b/>
        <sz val="11"/>
        <color theme="1"/>
        <rFont val="Arial"/>
        <family val="2"/>
      </rPr>
      <t>Vigencia para el 2021</t>
    </r>
    <r>
      <rPr>
        <sz val="11"/>
        <color theme="1"/>
        <rFont val="Arial"/>
        <family val="2"/>
      </rPr>
      <t xml:space="preserve">
</t>
    </r>
  </si>
  <si>
    <t>Agosto</t>
  </si>
  <si>
    <t>Septiembre</t>
  </si>
  <si>
    <t>Servicios Tecnológicos integrados de seguridad para Control de Acceso  - Aprovisionamiento Dic 2018 a 2020 - Vigencia Futura para 2019 y 2020 - Contrato N° 1808 del 2018</t>
  </si>
  <si>
    <t>Control de acceso para las sedes a nivel nacional ARN</t>
  </si>
  <si>
    <t xml:space="preserve">Servicios Tecnológicos integrados de seguridad para Control de Acceso  - </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</si>
  <si>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</si>
  <si>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</si>
  <si>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</si>
  <si>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</si>
  <si>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</si>
  <si>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</si>
  <si>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</si>
  <si>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2020</t>
    </r>
  </si>
  <si>
    <t>Selección Abreviada - Acuerdo Marco de Precios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</si>
  <si>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</si>
  <si>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t>
    </r>
  </si>
  <si>
    <r>
      <t xml:space="preserve">Nuevo Contrato </t>
    </r>
    <r>
      <rPr>
        <sz val="11"/>
        <color rgb="FFFF0000"/>
        <rFont val="Arial"/>
        <family val="2"/>
      </rPr>
      <t>-conectividad Vigencia Futura para 2021 y 2022</t>
    </r>
  </si>
  <si>
    <t xml:space="preserve">Si </t>
  </si>
  <si>
    <t>Solicitadas</t>
  </si>
  <si>
    <t>Adquisición de equipos tecnológicos (Estaciones de Trabajo)</t>
  </si>
  <si>
    <t>días</t>
  </si>
  <si>
    <t>Dotación de equipos                                                     Alquiler o compra de equipos</t>
  </si>
  <si>
    <t>Mónica Amado</t>
  </si>
  <si>
    <t>Adquisición de equipos tecnológicos (Computadores de escritorio)</t>
  </si>
  <si>
    <t>Adquisición de equipos tecnológicos (Computadores Portatiles)</t>
  </si>
  <si>
    <t>Adquisición de dispositivos periféricos (Escáner)</t>
  </si>
  <si>
    <t>Adquisición de dispositivos periféricos (Impresora láser y/o multifuncional)</t>
  </si>
  <si>
    <t xml:space="preserve">Servicio de resguardo y retención de backups históricos a disco </t>
  </si>
  <si>
    <t>Julio</t>
  </si>
  <si>
    <t>Servicios Tecnológicos para la ARN</t>
  </si>
  <si>
    <t>Merly Parra</t>
  </si>
  <si>
    <t>Adquisición de cámaras fotográficas y sus accesorios que requiere la Oficina Asesora de Comunicaciones de la ARN</t>
  </si>
  <si>
    <t>Selección Abreviada - Menor Cuantía</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</si>
  <si>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</si>
  <si>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</si>
  <si>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</si>
  <si>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Selección Abreviada - Subasta Inversa</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</si>
  <si>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</si>
  <si>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</si>
  <si>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</si>
  <si>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</si>
  <si>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</si>
  <si>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</si>
  <si>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Octubre</t>
  </si>
  <si>
    <t xml:space="preserve">Renovación y/o adquisición de licencias  - Acrobat Professional - para la ARN. </t>
  </si>
  <si>
    <t>Mínima Cuantía</t>
  </si>
  <si>
    <t xml:space="preserve">Adicion N° 1 -Renovación y/o adquisición de licencias - Solarwinds - para la ARN-. </t>
  </si>
  <si>
    <t xml:space="preserve">Renovación y/o adquisición de licencias - NVIVO plus edition para la ARN. </t>
  </si>
  <si>
    <t>Diana Parra</t>
  </si>
  <si>
    <t xml:space="preserve">Renovación y/o adquisición de licencias - ArcServe - para la ARN. </t>
  </si>
  <si>
    <t>Renovación y/o adquisición de licencias - Comunicaciones unificadas - para la ARN.</t>
  </si>
  <si>
    <t>Adquisición de licencias - Antivirus</t>
  </si>
  <si>
    <t>Adquisición de Software para equipo de Transformación</t>
  </si>
  <si>
    <t>Renovación y/o adquisición de licencias - DevExpress - para la ARN</t>
  </si>
  <si>
    <t>Adquisición de licencias - Prevención del plagio y control de originalidad de la información de la ARN</t>
  </si>
  <si>
    <t>Renovación y/o adquisición de licencias - Microsoft Azure - para la ARN.,</t>
  </si>
  <si>
    <t>Contratación de Servicios de Soporte Microsoft Premier y Conexos</t>
  </si>
  <si>
    <t>Servicio Premier Microsoft y Conexos</t>
  </si>
  <si>
    <t>Hernan Lotero
Merly Parra</t>
  </si>
  <si>
    <t xml:space="preserve">Proceso Servicios Tecnológicos - Contrato 1807 del 2018 (Vig 19 Nov 2018 - 31 Jul 2022) (Servicio mesa de ayuda, etc) </t>
  </si>
  <si>
    <t>Aprobadas</t>
  </si>
  <si>
    <t>Servicio de Soporte, capacitación y migración de datos Sharepoint (Vig 01 Ene 2020 - 31 dic 2020) AMP -44643 -Contrato N° 1002 de 2020</t>
  </si>
  <si>
    <t>Hernan Lotero</t>
  </si>
  <si>
    <t>Recurso por asignar "Servicio de Soporte,"</t>
  </si>
  <si>
    <t>Recursos por asignar</t>
  </si>
  <si>
    <t>Certificaciones digitales</t>
  </si>
  <si>
    <t>José Zarate</t>
  </si>
  <si>
    <t>Grupo de Talento Humano</t>
  </si>
  <si>
    <t>53101502
53101504
53101802
53101804
53111602
53111604
53111601</t>
  </si>
  <si>
    <t>Dotación de personal</t>
  </si>
  <si>
    <t>A-02-02-01-002</t>
  </si>
  <si>
    <t>MONICA BERNAL VANEGAS</t>
  </si>
  <si>
    <t>TALENTO HUMANO</t>
  </si>
  <si>
    <t>85122201
85121700</t>
  </si>
  <si>
    <t>Contratación de Servicios Médicos Ocupacionales</t>
  </si>
  <si>
    <t>Examenes Médicos Ocupacionales, actividades semana de la salud y vacunación ( exàmenes ingreso, retiro, periódicos)</t>
  </si>
  <si>
    <t>A-02-02-02-009</t>
  </si>
  <si>
    <t>5932211 
Ext 10601</t>
  </si>
  <si>
    <t xml:space="preserve">46182200  42171600  42201700   42271600    42271600  46182200   </t>
  </si>
  <si>
    <t xml:space="preserve">Adquisición de elementos de protección personal, ergonómicos de Oficina y para emergencias para los colaboradores de la ARN - </t>
  </si>
  <si>
    <t>Adquisicion de EPP, elementos ergonómicos</t>
  </si>
  <si>
    <t>A-02-02-01-003-006  A-02-02-01-002-007    A-02-01-01-004-003   A-02-02-01-003-008   A-02-02-01-003-005    A-02-02-01-002-008</t>
  </si>
  <si>
    <t>5932211 
Ext 10602</t>
  </si>
  <si>
    <t>93141506
91101501
49201611</t>
  </si>
  <si>
    <t xml:space="preserve">Servicios de Bienestar Social (Gimnasios) </t>
  </si>
  <si>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</si>
  <si>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</si>
  <si>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</si>
  <si>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</si>
  <si>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</si>
  <si>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</si>
  <si>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</si>
  <si>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t xml:space="preserve">Servicio de Capacitacion para funcionarios de la ARN - Congreso Contratación Estatal </t>
  </si>
  <si>
    <t>5932211 
Ext 10607</t>
  </si>
  <si>
    <t>Servicio de Capacitacion para funcionarios de la ARN - Congreso Derecho Procesal ICDP</t>
  </si>
  <si>
    <t>5932211 
Ext 10608</t>
  </si>
  <si>
    <t>Servicio de Capacitacion para funcionarios de la ARN - Congreso Derecho Disciplinario ICDD</t>
  </si>
  <si>
    <t>Noviembre</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</si>
  <si>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</si>
  <si>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</si>
  <si>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</si>
  <si>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</si>
  <si>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</si>
  <si>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</si>
  <si>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</si>
  <si>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</si>
  <si>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</si>
  <si>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</si>
  <si>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t xml:space="preserve">Suministro Tiquetes aereos - Contrato N° 1548 Vigencia Futura 2020 </t>
  </si>
  <si>
    <t>Adquisición de tiquetes al Exterior
Adquisición de tiquetes al Interior
Adquisición de tiquetes</t>
  </si>
  <si>
    <t>A-02-02-02-006
A-03-03-01-001</t>
  </si>
  <si>
    <t>SI</t>
  </si>
  <si>
    <t>5932211 
Ext 10614</t>
  </si>
  <si>
    <r>
      <t xml:space="preserve">Suministro tiquetes aéreos </t>
    </r>
    <r>
      <rPr>
        <b/>
        <sz val="11"/>
        <color theme="1"/>
        <rFont val="Arial"/>
        <family val="2"/>
      </rPr>
      <t>Vigencia para 2021</t>
    </r>
  </si>
  <si>
    <t>Servicio de procesamiento de la nómina de la Entidad Contrato N° 1076 de 2020</t>
  </si>
  <si>
    <t>Soporte Software Gestión Talento Humano</t>
  </si>
  <si>
    <t>A-02-02-02-008</t>
  </si>
  <si>
    <t>Recurso por asignar "Servicio de procesamiento de la nómina de la Entidad"</t>
  </si>
  <si>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</si>
  <si>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</si>
  <si>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</si>
  <si>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t>Recurso por asignar "Servicio de apoyo, acompañamiento y orientación jurídica especializada,"</t>
  </si>
  <si>
    <t>5932211 
Ext 10616</t>
  </si>
  <si>
    <t>Subdirección Financiera</t>
  </si>
  <si>
    <t>Adquisición de Firmas Digitales SIIF (Token)</t>
  </si>
  <si>
    <t>Adquisición de firmas digitales</t>
  </si>
  <si>
    <t>A-02-02-01-004-005</t>
  </si>
  <si>
    <t>Juan Carlos Herrán Vélez</t>
  </si>
  <si>
    <t>Convenio  PAZ PATRIMONIO AUTONOMO FONDO COLOMBIA EN PAZ - PA-FCP (Contrato No 1066 del 2018)</t>
  </si>
  <si>
    <t>Prórroga</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</si>
  <si>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</si>
  <si>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</si>
  <si>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</si>
  <si>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</si>
  <si>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</si>
  <si>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</si>
  <si>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</si>
  <si>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</si>
  <si>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</si>
  <si>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</si>
  <si>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</si>
  <si>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</si>
  <si>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</si>
  <si>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</si>
  <si>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</si>
  <si>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</si>
  <si>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</si>
  <si>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</si>
  <si>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t>Centro de contacto Call Center - Vigencia Futura para 2021</t>
  </si>
  <si>
    <t xml:space="preserve">80141900 90111600  78111800 80111600  90101600                                                                                                                                                                              </t>
  </si>
  <si>
    <t>Fortalecimiento de la cultura de atención al ciudadano y proceso de atención al ciudadano (OPERADOR LOGISTICO)</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</si>
  <si>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</si>
  <si>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</si>
  <si>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</si>
  <si>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</si>
  <si>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</si>
  <si>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</si>
  <si>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</si>
  <si>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</si>
  <si>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</si>
  <si>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</si>
  <si>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</si>
  <si>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Contrato N° 1039 de 2020</t>
  </si>
  <si>
    <t>Antiguos ETCR - Póliza aseguramiento bienes                                      Administración de los ETCR</t>
  </si>
  <si>
    <t>Recurso por Asignar "Contrato de seguros ETCR"</t>
  </si>
  <si>
    <t>Antiguos ETCR - Póliza aseguramiento bienes                                                              Administración de los ETCR</t>
  </si>
  <si>
    <t>444 00 20
Ext 10600</t>
  </si>
  <si>
    <t>Grupo de Almacen e Inventarios</t>
  </si>
  <si>
    <t xml:space="preserve"> Actualización y mantenimiento del Software - Aladino (Gestión y Control de Inventarios) </t>
  </si>
  <si>
    <t xml:space="preserve">Actualizacion del aplicativo  Aladino </t>
  </si>
  <si>
    <t xml:space="preserve">A-02-02-02-008 </t>
  </si>
  <si>
    <t xml:space="preserve">Sandra Mayerly Avendano Blanco </t>
  </si>
  <si>
    <t>44121600
44121700
44121800
44122100
44122000</t>
  </si>
  <si>
    <t>Suministro de papelería y útiles de oficina</t>
  </si>
  <si>
    <t>Suministro de Papeleria ARN
Costos Programa de Reincorporación Económica y social (Administrativo)</t>
  </si>
  <si>
    <t>A-03-03-01-001
A-03-03-01-001</t>
  </si>
  <si>
    <t>Suministro de Tóner</t>
  </si>
  <si>
    <t>Suministro de Papeleria ARN     Costos Programa de Reincorporación Económica y social (Administrativo)</t>
  </si>
  <si>
    <t xml:space="preserve">A-03-03-01-001 </t>
  </si>
  <si>
    <t>Grupo de Gestión Documental</t>
  </si>
  <si>
    <t>Suministro de insumos de archivo</t>
  </si>
  <si>
    <t xml:space="preserve">Compra Insumos Gestión Documental </t>
  </si>
  <si>
    <t>A-02-02-01-003</t>
  </si>
  <si>
    <t>Adquisición de equipos datalogger que permitan la medición de temperatura y humedad relativa en las áreas de almacenamiento documental de la ARN</t>
  </si>
  <si>
    <t>Equipo de conservación documental</t>
  </si>
  <si>
    <t>A-02-01-01-004-004</t>
  </si>
  <si>
    <t>80131502
95141706</t>
  </si>
  <si>
    <t>Contrato Alquiler bodega (Vigencia Futura 2020 Contrato N° 1771 del 2018)</t>
  </si>
  <si>
    <t xml:space="preserve">Contrato Alquiler bodega Archivo </t>
  </si>
  <si>
    <r>
      <t xml:space="preserve">Contrato Alquiler bodega  desde julio de 2020 hasta diciembre </t>
    </r>
    <r>
      <rPr>
        <b/>
        <sz val="11"/>
        <color theme="1"/>
        <rFont val="Arial"/>
        <family val="2"/>
      </rPr>
      <t xml:space="preserve">Vigencia Futura para 2021 y 2022 </t>
    </r>
  </si>
  <si>
    <t>Servicios postales de correspondencia (Vigencia futura  2020) - Contrato N° 1779 del 2018</t>
  </si>
  <si>
    <t>Servicios Postales de Correspondencia</t>
  </si>
  <si>
    <t xml:space="preserve">Servicios postales de correspondencia desde julio de 2020 hasta 31 diciembre Vigencia Futura para 2021 y 2022 </t>
  </si>
  <si>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</si>
  <si>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</si>
  <si>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</si>
  <si>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</si>
  <si>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</si>
  <si>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Contratación para Suministro de Combustible (Vigencia futura del 2020) - Contrato N° 1797 del 2018 (01 Dic 2020 al 31 Dic 2020) y contrato Nuevo</t>
  </si>
  <si>
    <t>Vigencia 2021</t>
  </si>
  <si>
    <t>A-02-02-01-003-004</t>
  </si>
  <si>
    <t>Si</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</si>
  <si>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</si>
  <si>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</si>
  <si>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</si>
  <si>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</si>
  <si>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</si>
  <si>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Nuevo contrato Contratación servicio de vehículo Blindado y seguidor Vigencia Futura para 2021 y 2022</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</si>
  <si>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</si>
  <si>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</si>
  <si>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</si>
  <si>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</si>
  <si>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</si>
  <si>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</si>
  <si>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t>
  </si>
  <si>
    <t>Mantenimiento Parque automotor</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</si>
  <si>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</si>
  <si>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</si>
  <si>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</si>
  <si>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</si>
  <si>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</si>
  <si>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</si>
  <si>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</si>
  <si>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95121503
72101508
76101503</t>
  </si>
  <si>
    <r>
      <t>Aseo, cafetería y Mantenimiento –Regional 6 y Regional 7</t>
    </r>
    <r>
      <rPr>
        <sz val="11"/>
        <color theme="1"/>
        <rFont val="Calibri"/>
        <family val="2"/>
        <scheme val="minor"/>
      </rPr>
      <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</si>
  <si>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</si>
  <si>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</si>
  <si>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</si>
  <si>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</si>
  <si>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</si>
  <si>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Alterna Edificio Santander Contrato Nuevo - Vigencia futura Para 2021 - desde 30/11/2020 hasta el 15/12/2020</t>
  </si>
  <si>
    <t>Diciembre</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</si>
  <si>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</si>
  <si>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</si>
  <si>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</si>
  <si>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</si>
  <si>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</si>
  <si>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</si>
  <si>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</si>
  <si>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</si>
  <si>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</si>
  <si>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Contrato de arrendamiento ARN Nueva sede Santander de Quilichao. Contrato N° 1077 de 2020</t>
  </si>
  <si>
    <t>Recurso por asignar "Contrato de arrendamiento ARN Nueva sede Santander de Quilichao"</t>
  </si>
  <si>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</si>
  <si>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</si>
  <si>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</si>
  <si>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</si>
  <si>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</si>
  <si>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</si>
  <si>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</si>
  <si>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</si>
  <si>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</si>
  <si>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</si>
  <si>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</si>
  <si>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</si>
  <si>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</si>
  <si>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</si>
  <si>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</si>
  <si>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</si>
  <si>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</si>
  <si>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</si>
  <si>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</si>
  <si>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</si>
  <si>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</si>
  <si>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</si>
  <si>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</si>
  <si>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</si>
  <si>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</si>
  <si>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</si>
  <si>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</si>
  <si>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</si>
  <si>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</si>
  <si>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 xml:space="preserve">Contratos de arrendamiento Grupos Territoriales (16 Dic/20 al 30 Dic 2020) Vigencia para 2021 </t>
  </si>
  <si>
    <t>Adecuación de los inmuebles donde funciona las sedes de la Entidad</t>
  </si>
  <si>
    <t xml:space="preserve">Abril  </t>
  </si>
  <si>
    <t>Adecuaciones de las sedes de la ARN</t>
  </si>
  <si>
    <t>A-03-03-01-001 A-02-02-02-005-004</t>
  </si>
  <si>
    <t>Adecuación de los inmuebles donde funciona las sedes de la Entidad (definir Objeto)</t>
  </si>
  <si>
    <t>ADQUISICIÓN DE MOBILIARIO  PARA LAS DISTINTAS DEPENDENCIAS DE LA ARN, DE ACUERDO CON LO ESTABLECIDO EN EL ANEXO No. 1 “FICHA TECNICA</t>
  </si>
  <si>
    <t>Adquisición de Mobiliario</t>
  </si>
  <si>
    <t>A-02-01-01-003-008</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</si>
  <si>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</si>
  <si>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</si>
  <si>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</si>
  <si>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</si>
  <si>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</si>
  <si>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    A-02-02-01-003-006</t>
  </si>
  <si>
    <t>52131600
72153600</t>
  </si>
  <si>
    <t>Suministro e instalación de persianas control solar</t>
  </si>
  <si>
    <t>27113201              39121321                31211500                 39101500</t>
  </si>
  <si>
    <t xml:space="preserve">Ferreteria </t>
  </si>
  <si>
    <t>Adquisición elementos de Ferreteria</t>
  </si>
  <si>
    <t>72151207
40101701</t>
  </si>
  <si>
    <t xml:space="preserve">Contratación para Mantenimiento Aires Acondicionados </t>
  </si>
  <si>
    <t>Contratación para Mantenimiento Aires Acondicionados</t>
  </si>
  <si>
    <t>A-03-03-01-008</t>
  </si>
  <si>
    <t>72101500
40101701</t>
  </si>
  <si>
    <t>Compra e instalación de aires acondicionados y ventiladores</t>
  </si>
  <si>
    <t>A-02-01-01-004-003</t>
  </si>
  <si>
    <t>Compra y Mantenimiento Aires Acondicionados</t>
  </si>
  <si>
    <t>Contratación Seguros de la Entidad</t>
  </si>
  <si>
    <t>A-02-02-02-007                     A-03-03-01-001</t>
  </si>
  <si>
    <t>Contratación Seguros de la Entidad Poliza todo daño materiales -grupos territoriales-</t>
  </si>
  <si>
    <t>A-02-02-02-007                     A-03-03-01-002</t>
  </si>
  <si>
    <t>Adquisición de dispensadores de Agua - Adquisición de filtros de agua</t>
  </si>
  <si>
    <t>Extintores</t>
  </si>
  <si>
    <t>Rampas portátiles</t>
  </si>
  <si>
    <t xml:space="preserve">Mantenimiento a contenedores y adquisición de contenedores para acopio de RESPEL </t>
  </si>
  <si>
    <t>Elementos para el Plan de Gestión Ambiental</t>
  </si>
  <si>
    <t>A-03-03-01-001    A-02-02-01-003-006</t>
  </si>
  <si>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</si>
  <si>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 Contrato 1114 de 2020</t>
  </si>
  <si>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</si>
  <si>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</si>
  <si>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</si>
  <si>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</si>
  <si>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</si>
  <si>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</si>
  <si>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</si>
  <si>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t>Adquisición de servicios de seguimiento a los contenidos publicados en medios de comunicaicón relacionados con las políticas desarrolladas por la Agencia para la Reincorporación y la Normalización-ARN,</t>
  </si>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</sst>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quot;$&quot;\ * #,##0_-;_-&quot;$&quot;\ * &quot;-&quot;_-;_-@_-"/>
    <numFmt numFmtId="165" formatCode="_-* #,##0_-;\-* #,##0_-;_-* &quot;-&quot;_-;_-@_-"/>
    <numFmt numFmtId="166" formatCode="&quot;$&quot;\ #,##0"/>
    <numFmt numFmtId="167" formatCode="&quot;$&quot;\ #,##0;[Red]\-&quot;$&quot;\ #,##0"/>
    <numFmt numFmtId="168" formatCode="mmm\-\ yyyy;@"/>
    <numFmt numFmtId="169" formatCode="_-&quot;$&quot;\ * #,##0.00_-;\-&quot;$&quot;\ * #,##0.00_-;_-&quot;$&quot;\ * &quot;-&quot;??_-;_-@_-"/>
    <numFmt numFmtId="170" formatCode="0.0"/>
  </numFmts>
  <fonts count="20"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sz val="11"/>
      <color rgb="FFFF0000"/>
      <name val="Arial"/>
      <family val="2"/>
    </font>
    <font>
      <u/>
      <sz val="10"/>
      <color theme="10"/>
      <name val="Arial"/>
      <family val="2"/>
    </font>
    <font>
      <u/>
      <sz val="11"/>
      <color theme="1"/>
      <name val="Arial"/>
      <family val="2"/>
    </font>
    <font>
      <sz val="10"/>
      <color rgb="FFFF0000"/>
      <name val="Calibri"/>
      <family val="2"/>
      <scheme val="minor"/>
    </font>
    <font>
      <b/>
      <sz val="11"/>
      <color rgb="FFFF0000"/>
      <name val="Arial"/>
      <family val="2"/>
    </font>
    <font>
      <sz val="11"/>
      <name val="Arial"/>
      <family val="2"/>
    </font>
    <font>
      <sz val="11"/>
      <color rgb="FF00B050"/>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3">
    <xf numFmtId="0" fontId="0" fillId="0" borderId="0"/>
    <xf numFmtId="165" fontId="3" fillId="0" borderId="0" applyFont="0" applyFill="0" applyBorder="0" applyAlignment="0" applyProtection="0"/>
    <xf numFmtId="169" fontId="3" fillId="0" borderId="0" applyFont="0" applyFill="0" applyBorder="0" applyAlignment="0" applyProtection="0"/>
    <xf numFmtId="164" fontId="3" fillId="0" borderId="0" applyFont="0" applyFill="0" applyBorder="0" applyAlignment="0" applyProtection="0"/>
    <xf numFmtId="0" fontId="2" fillId="2" borderId="0" applyNumberFormat="0" applyBorder="0" applyAlignment="0" applyProtection="0"/>
    <xf numFmtId="0" fontId="12"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2" fillId="0" borderId="0" applyNumberFormat="0" applyFill="0" applyBorder="0" applyAlignment="0" applyProtection="0"/>
    <xf numFmtId="165" fontId="3" fillId="0" borderId="0" applyFont="0" applyFill="0" applyBorder="0" applyAlignment="0" applyProtection="0"/>
  </cellStyleXfs>
  <cellXfs count="151">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6"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7"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wrapText="1"/>
      <protection locked="0"/>
    </xf>
    <xf numFmtId="0" fontId="7" fillId="5" borderId="3" xfId="8"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protection locked="0"/>
    </xf>
    <xf numFmtId="49" fontId="7" fillId="5" borderId="3" xfId="7" applyFont="1" applyFill="1" applyBorder="1" applyAlignment="1" applyProtection="1">
      <alignment horizontal="center" vertical="center" wrapText="1"/>
    </xf>
    <xf numFmtId="0" fontId="0" fillId="0" borderId="0" xfId="0" applyAlignment="1">
      <alignment vertical="center"/>
    </xf>
    <xf numFmtId="49" fontId="9" fillId="3" borderId="4" xfId="7" applyFont="1" applyFill="1" applyBorder="1" applyAlignment="1" applyProtection="1">
      <alignment horizontal="center" vertical="center" wrapText="1"/>
      <protection locked="0"/>
    </xf>
    <xf numFmtId="0" fontId="9" fillId="3" borderId="1" xfId="9" applyFont="1" applyFill="1" applyBorder="1" applyAlignment="1">
      <alignment horizontal="center" vertical="center" wrapText="1"/>
    </xf>
    <xf numFmtId="0" fontId="9" fillId="8" borderId="1" xfId="9" applyFont="1" applyFill="1" applyBorder="1" applyAlignment="1">
      <alignment vertical="center" wrapText="1"/>
    </xf>
    <xf numFmtId="14" fontId="10" fillId="8" borderId="1" xfId="9" applyNumberFormat="1" applyFont="1" applyFill="1" applyBorder="1" applyAlignment="1">
      <alignment horizontal="center" vertical="center" wrapText="1"/>
    </xf>
    <xf numFmtId="17" fontId="9" fillId="8" borderId="1" xfId="9" applyNumberFormat="1" applyFont="1" applyFill="1" applyBorder="1" applyAlignment="1">
      <alignment horizontal="center" vertical="center" wrapText="1"/>
    </xf>
    <xf numFmtId="3" fontId="9" fillId="3" borderId="1" xfId="7"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0" fontId="9" fillId="8" borderId="1" xfId="9"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8" borderId="1" xfId="3" applyFont="1" applyFill="1" applyBorder="1" applyAlignment="1">
      <alignment horizontal="center" vertical="center" wrapText="1"/>
    </xf>
    <xf numFmtId="167" fontId="11" fillId="8" borderId="1" xfId="3" applyNumberFormat="1" applyFont="1" applyFill="1" applyBorder="1" applyAlignment="1">
      <alignment horizontal="center" vertical="center" wrapText="1"/>
    </xf>
    <xf numFmtId="49" fontId="9" fillId="3" borderId="1" xfId="7" applyFont="1" applyFill="1" applyBorder="1" applyAlignment="1" applyProtection="1">
      <alignment horizontal="center" vertical="center" wrapText="1"/>
      <protection locked="0"/>
    </xf>
    <xf numFmtId="1" fontId="9" fillId="3" borderId="1" xfId="7" applyNumberFormat="1" applyFont="1" applyFill="1" applyBorder="1" applyAlignment="1" applyProtection="1">
      <alignment horizontal="center" vertical="center" wrapText="1"/>
      <protection locked="0"/>
    </xf>
    <xf numFmtId="49" fontId="13" fillId="3" borderId="1" xfId="5" applyNumberFormat="1" applyFont="1" applyFill="1" applyBorder="1" applyAlignment="1" applyProtection="1">
      <alignment horizontal="left" vertical="center" wrapText="1"/>
    </xf>
    <xf numFmtId="49" fontId="9" fillId="3" borderId="1" xfId="7" applyFont="1" applyFill="1" applyBorder="1" applyAlignment="1" applyProtection="1">
      <alignment horizontal="center" vertical="center" wrapText="1"/>
    </xf>
    <xf numFmtId="14" fontId="9" fillId="8" borderId="1" xfId="9" applyNumberFormat="1" applyFont="1" applyFill="1" applyBorder="1" applyAlignment="1">
      <alignment vertical="center" wrapText="1"/>
    </xf>
    <xf numFmtId="164" fontId="11" fillId="8" borderId="1" xfId="3"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14" fontId="11" fillId="8" borderId="1" xfId="9"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 vertical="center" wrapText="1"/>
      <protection locked="0"/>
    </xf>
    <xf numFmtId="164" fontId="9" fillId="3" borderId="1" xfId="3" applyNumberFormat="1" applyFont="1" applyFill="1" applyBorder="1" applyAlignment="1" applyProtection="1">
      <alignment horizontal="center" vertical="center" wrapText="1"/>
      <protection locked="0"/>
    </xf>
    <xf numFmtId="14" fontId="14" fillId="8" borderId="1" xfId="9" applyNumberFormat="1" applyFont="1" applyFill="1" applyBorder="1" applyAlignment="1">
      <alignment horizontal="center" vertical="center" wrapText="1"/>
    </xf>
    <xf numFmtId="0" fontId="9" fillId="8" borderId="1" xfId="9" applyFont="1" applyFill="1" applyBorder="1" applyAlignment="1">
      <alignment horizontal="justify" vertical="center" wrapText="1"/>
    </xf>
    <xf numFmtId="49" fontId="13" fillId="3" borderId="1" xfId="5" applyNumberFormat="1" applyFont="1" applyFill="1" applyBorder="1" applyAlignment="1" applyProtection="1">
      <alignment horizontal="left" vertical="center"/>
    </xf>
    <xf numFmtId="166" fontId="9" fillId="8" borderId="1" xfId="1" applyNumberFormat="1" applyFont="1" applyFill="1" applyBorder="1" applyAlignment="1" applyProtection="1">
      <alignment horizontal="center" vertical="center" wrapText="1"/>
      <protection locked="0"/>
    </xf>
    <xf numFmtId="0" fontId="11" fillId="8" borderId="1" xfId="9" applyFont="1" applyFill="1" applyBorder="1" applyAlignment="1">
      <alignment vertical="center" wrapText="1"/>
    </xf>
    <xf numFmtId="0" fontId="9" fillId="8" borderId="1" xfId="9" applyNumberFormat="1" applyFont="1" applyFill="1" applyBorder="1" applyAlignment="1">
      <alignment vertical="center" wrapText="1"/>
    </xf>
    <xf numFmtId="17" fontId="11" fillId="8" borderId="1" xfId="9" applyNumberFormat="1" applyFont="1" applyFill="1" applyBorder="1" applyAlignment="1">
      <alignment horizontal="center" vertical="center" wrapText="1"/>
    </xf>
    <xf numFmtId="166" fontId="9" fillId="3" borderId="1" xfId="7" applyNumberFormat="1" applyFont="1" applyFill="1" applyBorder="1" applyAlignment="1" applyProtection="1">
      <alignment horizontal="center" vertical="center" wrapText="1"/>
      <protection locked="0"/>
    </xf>
    <xf numFmtId="164" fontId="11" fillId="3" borderId="1" xfId="3" applyFont="1" applyFill="1" applyBorder="1" applyAlignment="1" applyProtection="1">
      <alignment horizontal="center" vertical="center" wrapText="1"/>
      <protection locked="0"/>
    </xf>
    <xf numFmtId="0" fontId="15" fillId="8" borderId="1" xfId="9" applyFont="1" applyFill="1" applyBorder="1" applyAlignment="1">
      <alignment vertical="center" wrapText="1"/>
    </xf>
    <xf numFmtId="0" fontId="11" fillId="8" borderId="1" xfId="9" applyFont="1" applyFill="1" applyBorder="1" applyAlignment="1">
      <alignment horizontal="center" vertical="center" wrapText="1"/>
    </xf>
    <xf numFmtId="0" fontId="9" fillId="8" borderId="1" xfId="9" applyFont="1" applyFill="1" applyBorder="1" applyAlignment="1">
      <alignment horizontal="center" vertical="center"/>
    </xf>
    <xf numFmtId="0" fontId="9" fillId="3" borderId="1" xfId="0" applyFont="1" applyFill="1" applyBorder="1" applyAlignment="1">
      <alignment horizontal="center" vertical="center" wrapText="1"/>
    </xf>
    <xf numFmtId="168" fontId="9" fillId="8" borderId="1" xfId="9"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 vertical="center"/>
      <protection locked="0"/>
    </xf>
    <xf numFmtId="166" fontId="7" fillId="3" borderId="1" xfId="7" applyNumberFormat="1" applyFont="1" applyFill="1" applyBorder="1" applyAlignment="1" applyProtection="1">
      <alignment horizontal="center" vertical="center" wrapText="1"/>
      <protection locked="0"/>
    </xf>
    <xf numFmtId="49" fontId="11" fillId="3" borderId="1" xfId="7" applyFont="1" applyFill="1" applyBorder="1" applyAlignment="1" applyProtection="1">
      <alignment horizontal="center" vertical="center" wrapText="1"/>
      <protection locked="0"/>
    </xf>
    <xf numFmtId="49" fontId="11" fillId="3" borderId="1" xfId="7"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readingOrder="1"/>
    </xf>
    <xf numFmtId="166" fontId="9" fillId="3" borderId="1" xfId="7" applyNumberFormat="1" applyFont="1" applyFill="1" applyBorder="1" applyAlignment="1">
      <alignment horizontal="center" vertical="center" wrapText="1"/>
    </xf>
    <xf numFmtId="0" fontId="11" fillId="3" borderId="1" xfId="9" applyFont="1" applyFill="1" applyBorder="1" applyAlignment="1">
      <alignment vertical="center" wrapText="1"/>
    </xf>
    <xf numFmtId="0" fontId="9" fillId="3" borderId="1" xfId="9" applyFont="1" applyFill="1" applyBorder="1" applyAlignment="1">
      <alignment vertical="center" wrapText="1"/>
    </xf>
    <xf numFmtId="0" fontId="9" fillId="3" borderId="1" xfId="0" applyFont="1" applyFill="1" applyBorder="1" applyAlignment="1">
      <alignment vertical="center" wrapText="1"/>
    </xf>
    <xf numFmtId="0" fontId="0" fillId="0" borderId="0" xfId="0" applyFill="1" applyAlignment="1">
      <alignment vertical="center"/>
    </xf>
    <xf numFmtId="168" fontId="9" fillId="3" borderId="1" xfId="9" applyNumberFormat="1" applyFont="1" applyFill="1" applyBorder="1" applyAlignment="1">
      <alignment horizontal="center" vertical="center" wrapText="1"/>
    </xf>
    <xf numFmtId="164" fontId="9" fillId="3" borderId="1" xfId="3" applyNumberFormat="1" applyFont="1" applyFill="1" applyBorder="1" applyAlignment="1">
      <alignment horizontal="center" vertical="center" wrapText="1"/>
    </xf>
    <xf numFmtId="0" fontId="11" fillId="8" borderId="1" xfId="9" applyNumberFormat="1" applyFont="1" applyFill="1" applyBorder="1" applyAlignment="1">
      <alignment vertical="center" wrapText="1"/>
    </xf>
    <xf numFmtId="49" fontId="9" fillId="3" borderId="1" xfId="7" applyNumberFormat="1" applyFont="1" applyFill="1" applyBorder="1" applyAlignment="1">
      <alignment horizontal="center" vertical="center" wrapText="1"/>
    </xf>
    <xf numFmtId="166" fontId="11" fillId="3" borderId="1" xfId="7" applyNumberFormat="1" applyFont="1" applyFill="1" applyBorder="1" applyAlignment="1" applyProtection="1">
      <alignment horizontal="center" vertical="center" wrapText="1"/>
      <protection locked="0"/>
    </xf>
    <xf numFmtId="166" fontId="9" fillId="3" borderId="1" xfId="3" applyNumberFormat="1" applyFont="1" applyFill="1" applyBorder="1" applyAlignment="1" applyProtection="1">
      <alignment horizontal="center" vertical="center" wrapText="1"/>
      <protection locked="0"/>
    </xf>
    <xf numFmtId="0" fontId="0" fillId="7" borderId="0" xfId="0" applyFill="1" applyBorder="1" applyAlignment="1">
      <alignment vertical="center"/>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xf>
    <xf numFmtId="0" fontId="9" fillId="3" borderId="1" xfId="0" applyFont="1" applyFill="1" applyBorder="1" applyAlignment="1">
      <alignment vertical="center"/>
    </xf>
    <xf numFmtId="0" fontId="9" fillId="3" borderId="1" xfId="0" applyFont="1" applyFill="1" applyBorder="1"/>
    <xf numFmtId="0" fontId="13" fillId="3" borderId="1" xfId="5" applyFont="1" applyFill="1" applyBorder="1" applyAlignment="1" applyProtection="1">
      <alignment vertical="center"/>
    </xf>
    <xf numFmtId="165" fontId="9" fillId="3" borderId="1" xfId="0" applyNumberFormat="1" applyFont="1" applyFill="1" applyBorder="1" applyAlignment="1">
      <alignment vertical="center"/>
    </xf>
    <xf numFmtId="169" fontId="9" fillId="3" borderId="1" xfId="2"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164" fontId="11" fillId="3" borderId="1" xfId="3" applyFont="1" applyFill="1" applyBorder="1" applyAlignment="1">
      <alignment horizontal="center" vertical="center" wrapText="1"/>
    </xf>
    <xf numFmtId="164" fontId="15" fillId="3" borderId="1" xfId="3" applyFont="1" applyFill="1" applyBorder="1" applyAlignment="1">
      <alignment horizontal="center" vertical="center" wrapText="1"/>
    </xf>
    <xf numFmtId="0" fontId="9" fillId="8" borderId="1" xfId="1" applyNumberFormat="1" applyFont="1" applyFill="1" applyBorder="1" applyAlignment="1">
      <alignment horizontal="center" vertical="center" wrapText="1"/>
    </xf>
    <xf numFmtId="49" fontId="13" fillId="3" borderId="1" xfId="5" applyNumberFormat="1" applyFont="1" applyFill="1" applyBorder="1" applyAlignment="1" applyProtection="1">
      <alignment horizontal="center" vertical="center"/>
    </xf>
    <xf numFmtId="17" fontId="9" fillId="8" borderId="1" xfId="9" applyNumberFormat="1" applyFont="1" applyFill="1" applyBorder="1" applyAlignment="1" applyProtection="1">
      <alignment horizontal="center" vertical="center" wrapText="1"/>
    </xf>
    <xf numFmtId="0" fontId="9" fillId="3" borderId="1" xfId="0" applyNumberFormat="1" applyFont="1" applyFill="1" applyBorder="1" applyAlignment="1">
      <alignment horizontal="center" vertical="center"/>
    </xf>
    <xf numFmtId="0" fontId="9" fillId="8" borderId="1" xfId="10" applyFont="1" applyFill="1" applyBorder="1" applyAlignment="1">
      <alignment horizontal="center" vertical="center" wrapText="1"/>
    </xf>
    <xf numFmtId="0" fontId="9" fillId="8" borderId="1" xfId="10" applyFont="1" applyFill="1" applyBorder="1" applyAlignment="1">
      <alignment vertical="center" wrapText="1"/>
    </xf>
    <xf numFmtId="0" fontId="9" fillId="8" borderId="1" xfId="10" applyFont="1" applyFill="1" applyBorder="1" applyAlignment="1">
      <alignment horizontal="left" vertical="center" wrapText="1"/>
    </xf>
    <xf numFmtId="0" fontId="9" fillId="3" borderId="1" xfId="10" applyFont="1" applyFill="1" applyBorder="1" applyAlignment="1">
      <alignment horizontal="center" vertical="center" wrapText="1"/>
    </xf>
    <xf numFmtId="49" fontId="13" fillId="3" borderId="1" xfId="11" applyNumberFormat="1" applyFont="1" applyFill="1" applyBorder="1" applyAlignment="1" applyProtection="1">
      <alignment horizontal="left" vertical="center"/>
    </xf>
    <xf numFmtId="0" fontId="9" fillId="3" borderId="1" xfId="10" applyFont="1" applyFill="1" applyBorder="1" applyAlignment="1">
      <alignment horizontal="center" vertical="center"/>
    </xf>
    <xf numFmtId="17" fontId="9" fillId="8" borderId="1" xfId="10" applyNumberFormat="1" applyFont="1" applyFill="1" applyBorder="1" applyAlignment="1">
      <alignment horizontal="center" vertical="center" wrapText="1"/>
    </xf>
    <xf numFmtId="170" fontId="9" fillId="3" borderId="1" xfId="7" applyNumberFormat="1" applyFont="1" applyFill="1" applyBorder="1" applyAlignment="1" applyProtection="1">
      <alignment horizontal="center" vertical="center" wrapText="1"/>
      <protection locked="0"/>
    </xf>
    <xf numFmtId="0" fontId="9" fillId="3" borderId="1" xfId="10" applyFont="1" applyFill="1" applyBorder="1" applyAlignment="1">
      <alignment vertical="center" wrapText="1"/>
    </xf>
    <xf numFmtId="0" fontId="9" fillId="3" borderId="1" xfId="10" applyFont="1" applyFill="1" applyBorder="1" applyAlignment="1">
      <alignment horizontal="left" vertical="center" wrapText="1"/>
    </xf>
    <xf numFmtId="164" fontId="17" fillId="3" borderId="1" xfId="3" applyFont="1" applyFill="1" applyBorder="1" applyAlignment="1" applyProtection="1">
      <alignment horizontal="center" vertical="center" wrapText="1"/>
      <protection locked="0"/>
    </xf>
    <xf numFmtId="17" fontId="9" fillId="3" borderId="1" xfId="10" applyNumberFormat="1" applyFont="1" applyFill="1" applyBorder="1" applyAlignment="1">
      <alignment horizontal="center" vertical="center" wrapText="1"/>
    </xf>
    <xf numFmtId="166" fontId="9" fillId="8" borderId="1" xfId="12" applyNumberFormat="1" applyFont="1" applyFill="1" applyBorder="1" applyAlignment="1">
      <alignment horizontal="center" vertical="center" wrapText="1"/>
    </xf>
    <xf numFmtId="164" fontId="9" fillId="3" borderId="1" xfId="3" applyFont="1" applyFill="1" applyBorder="1" applyAlignment="1">
      <alignment horizontal="center" vertical="center"/>
    </xf>
    <xf numFmtId="167" fontId="9" fillId="3" borderId="1" xfId="3" applyNumberFormat="1" applyFont="1" applyFill="1" applyBorder="1" applyAlignment="1">
      <alignment horizontal="center" vertical="center" wrapText="1"/>
    </xf>
    <xf numFmtId="167" fontId="9" fillId="3" borderId="1" xfId="3" applyNumberFormat="1" applyFont="1" applyFill="1" applyBorder="1" applyAlignment="1" applyProtection="1">
      <alignment horizontal="center" vertical="center" wrapText="1"/>
      <protection locked="0"/>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0" fontId="3" fillId="3" borderId="0" xfId="0" applyFont="1" applyFill="1" applyAlignment="1" applyProtection="1">
      <alignment vertical="center"/>
    </xf>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xf numFmtId="164" fontId="11" fillId="3" borderId="1" xfId="3" applyNumberFormat="1" applyFont="1" applyFill="1" applyBorder="1" applyAlignment="1" applyProtection="1">
      <alignment horizontal="center" vertical="center" wrapText="1"/>
      <protection locked="0"/>
    </xf>
    <xf numFmtId="0" fontId="11" fillId="3" borderId="1" xfId="7" applyNumberFormat="1" applyFont="1" applyFill="1" applyBorder="1" applyAlignment="1" applyProtection="1">
      <alignment horizontal="center" vertical="center" wrapText="1"/>
      <protection locked="0"/>
    </xf>
    <xf numFmtId="0" fontId="11" fillId="3" borderId="1" xfId="9" applyFont="1" applyFill="1" applyBorder="1" applyAlignment="1">
      <alignment horizontal="center" vertical="center" wrapText="1"/>
    </xf>
    <xf numFmtId="166" fontId="11" fillId="8" borderId="1" xfId="1" applyNumberFormat="1" applyFont="1" applyFill="1" applyBorder="1" applyAlignment="1">
      <alignment horizontal="center" vertical="center" wrapText="1"/>
    </xf>
    <xf numFmtId="164" fontId="7" fillId="3" borderId="1" xfId="3" applyFont="1" applyFill="1" applyBorder="1" applyAlignment="1" applyProtection="1">
      <alignment horizontal="center" vertical="center" wrapText="1"/>
      <protection locked="0"/>
    </xf>
    <xf numFmtId="0" fontId="0" fillId="3" borderId="0" xfId="0" applyFill="1" applyBorder="1" applyAlignment="1">
      <alignment vertical="center"/>
    </xf>
    <xf numFmtId="1" fontId="9" fillId="3" borderId="1" xfId="0" applyNumberFormat="1" applyFont="1" applyFill="1" applyBorder="1" applyAlignment="1">
      <alignment horizontal="center" vertical="center" wrapText="1" readingOrder="1"/>
    </xf>
    <xf numFmtId="0" fontId="11" fillId="3" borderId="1" xfId="0" applyFont="1" applyFill="1" applyBorder="1" applyAlignment="1">
      <alignment horizontal="center" vertical="center" wrapText="1"/>
    </xf>
    <xf numFmtId="164" fontId="9" fillId="3" borderId="1" xfId="3" applyFont="1" applyFill="1" applyBorder="1" applyAlignment="1">
      <alignment horizontal="center" vertical="center" wrapText="1" readingOrder="1"/>
    </xf>
    <xf numFmtId="165" fontId="9" fillId="3" borderId="1" xfId="1" applyFont="1" applyFill="1" applyBorder="1" applyAlignment="1">
      <alignment vertical="center"/>
    </xf>
    <xf numFmtId="0" fontId="9" fillId="3" borderId="1" xfId="8" applyFont="1" applyFill="1" applyBorder="1" applyAlignment="1" applyProtection="1">
      <alignment horizontal="left" vertical="center" wrapText="1"/>
    </xf>
    <xf numFmtId="1" fontId="9" fillId="8" borderId="1" xfId="9" applyNumberFormat="1" applyFont="1" applyFill="1" applyBorder="1" applyAlignment="1">
      <alignment horizontal="center" vertical="center" wrapText="1"/>
    </xf>
    <xf numFmtId="0" fontId="9" fillId="3" borderId="1" xfId="4" applyFont="1" applyFill="1" applyBorder="1" applyAlignment="1">
      <alignment vertical="center"/>
    </xf>
    <xf numFmtId="164" fontId="16" fillId="3" borderId="1" xfId="3" applyFont="1" applyFill="1" applyBorder="1" applyAlignment="1" applyProtection="1">
      <alignment horizontal="center" vertical="center" wrapText="1"/>
      <protection locked="0"/>
    </xf>
    <xf numFmtId="49" fontId="9" fillId="3" borderId="1" xfId="7" applyFont="1" applyFill="1" applyBorder="1" applyAlignment="1" applyProtection="1">
      <alignment horizontal="left" vertical="center" wrapText="1"/>
      <protection locked="0"/>
    </xf>
    <xf numFmtId="14" fontId="9" fillId="8" borderId="1" xfId="9"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Continuous" vertical="center"/>
      <protection locked="0"/>
    </xf>
    <xf numFmtId="3" fontId="11" fillId="3" borderId="1" xfId="7" applyNumberFormat="1" applyFont="1" applyFill="1" applyBorder="1" applyAlignment="1" applyProtection="1">
      <alignment horizontal="right" vertical="center" wrapText="1"/>
      <protection locked="0"/>
    </xf>
    <xf numFmtId="3" fontId="9" fillId="3" borderId="1" xfId="7" applyNumberFormat="1" applyFont="1" applyFill="1" applyBorder="1" applyAlignment="1" applyProtection="1">
      <alignment horizontal="right" vertical="center" wrapText="1"/>
      <protection locked="0"/>
    </xf>
    <xf numFmtId="49" fontId="9" fillId="3" borderId="1" xfId="7" applyFont="1" applyFill="1" applyBorder="1" applyAlignment="1" applyProtection="1">
      <alignment horizontal="center" vertical="center"/>
      <protection locked="0"/>
    </xf>
    <xf numFmtId="49" fontId="9" fillId="3" borderId="5" xfId="7" applyFont="1" applyFill="1" applyBorder="1" applyAlignment="1" applyProtection="1">
      <alignment horizontal="center" vertical="center" wrapText="1"/>
      <protection locked="0"/>
    </xf>
    <xf numFmtId="0" fontId="9" fillId="8" borderId="6" xfId="9" applyFont="1" applyFill="1" applyBorder="1" applyAlignment="1">
      <alignment horizontal="center" wrapText="1"/>
    </xf>
    <xf numFmtId="0" fontId="9" fillId="8" borderId="6" xfId="9" applyFont="1" applyFill="1" applyBorder="1" applyAlignment="1">
      <alignment vertical="center" wrapText="1"/>
    </xf>
    <xf numFmtId="14" fontId="10" fillId="8" borderId="6" xfId="9" applyNumberFormat="1" applyFont="1" applyFill="1" applyBorder="1" applyAlignment="1">
      <alignment horizontal="center" vertical="center" wrapText="1"/>
    </xf>
    <xf numFmtId="49" fontId="9" fillId="3" borderId="6" xfId="7" applyFont="1" applyFill="1" applyBorder="1" applyAlignment="1" applyProtection="1">
      <alignment horizontal="center" vertical="center" wrapText="1"/>
      <protection locked="0"/>
    </xf>
    <xf numFmtId="0" fontId="9" fillId="3" borderId="6" xfId="0" applyNumberFormat="1" applyFont="1" applyFill="1" applyBorder="1" applyAlignment="1">
      <alignment horizontal="center" vertical="center" wrapText="1" readingOrder="1"/>
    </xf>
    <xf numFmtId="0" fontId="9" fillId="3" borderId="6" xfId="7" applyNumberFormat="1" applyFont="1" applyFill="1" applyBorder="1" applyAlignment="1" applyProtection="1">
      <alignment horizontal="center" vertical="center" wrapText="1"/>
      <protection locked="0"/>
    </xf>
    <xf numFmtId="0" fontId="9" fillId="8" borderId="6" xfId="9" applyFont="1" applyFill="1" applyBorder="1" applyAlignment="1">
      <alignment horizontal="center" vertical="center" wrapText="1"/>
    </xf>
    <xf numFmtId="166" fontId="9" fillId="3" borderId="6" xfId="7"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7" applyNumberFormat="1" applyFont="1" applyFill="1" applyBorder="1" applyAlignment="1" applyProtection="1">
      <alignment horizontal="center" vertical="center" wrapText="1"/>
      <protection locked="0"/>
    </xf>
    <xf numFmtId="49" fontId="13" fillId="3" borderId="6" xfId="5" applyNumberFormat="1" applyFont="1" applyFill="1" applyBorder="1" applyAlignment="1" applyProtection="1">
      <alignment horizontal="left" vertical="center"/>
    </xf>
    <xf numFmtId="0" fontId="3" fillId="3" borderId="0" xfId="0" applyFont="1" applyFill="1" applyAlignment="1" applyProtection="1">
      <alignment horizontal="center" vertical="center"/>
      <protection locked="0"/>
    </xf>
    <xf numFmtId="0" fontId="3" fillId="3" borderId="0" xfId="0" applyFont="1" applyFill="1" applyAlignment="1" applyProtection="1">
      <alignment vertical="center"/>
      <protection locked="0"/>
    </xf>
    <xf numFmtId="164" fontId="3" fillId="3" borderId="0" xfId="3" applyFont="1" applyFill="1" applyAlignment="1" applyProtection="1">
      <alignment vertical="center"/>
      <protection locked="0"/>
    </xf>
    <xf numFmtId="164" fontId="3" fillId="3" borderId="0" xfId="0" applyNumberFormat="1" applyFont="1" applyFill="1" applyAlignment="1" applyProtection="1">
      <alignment vertical="center"/>
      <protection locked="0"/>
    </xf>
    <xf numFmtId="166" fontId="3" fillId="3" borderId="0" xfId="0" applyNumberFormat="1" applyFont="1" applyFill="1" applyAlignment="1" applyProtection="1">
      <alignment vertical="center"/>
      <protection locked="0"/>
    </xf>
    <xf numFmtId="166" fontId="3" fillId="3" borderId="0" xfId="0" applyNumberFormat="1" applyFont="1" applyFill="1" applyAlignment="1" applyProtection="1">
      <alignment horizontal="center" vertical="center"/>
      <protection locked="0"/>
    </xf>
    <xf numFmtId="0" fontId="0" fillId="3" borderId="0" xfId="0" applyFont="1" applyFill="1" applyAlignment="1" applyProtection="1">
      <alignment vertical="center" wrapText="1"/>
      <protection locked="0"/>
    </xf>
    <xf numFmtId="165" fontId="10" fillId="3" borderId="7" xfId="1" applyFont="1" applyFill="1" applyBorder="1"/>
  </cellXfs>
  <cellStyles count="13">
    <cellStyle name="BodyStyle" xfId="7" xr:uid="{60ED5A91-D076-41AC-82DC-E8545E211E7F}"/>
    <cellStyle name="Bueno" xfId="4" builtinId="26"/>
    <cellStyle name="HeaderStyle" xfId="8" xr:uid="{A4B0A455-1F53-492D-937B-52A652F474A2}"/>
    <cellStyle name="Hipervínculo" xfId="5" builtinId="8"/>
    <cellStyle name="Hipervínculo 2" xfId="11" xr:uid="{66662D20-78F1-40ED-8A3D-E47885005CCE}"/>
    <cellStyle name="MainTitle" xfId="6" xr:uid="{D7BF494D-0950-4D7C-8175-7B9FA0AF1498}"/>
    <cellStyle name="Millares [0]" xfId="1" builtinId="6"/>
    <cellStyle name="Millares [0] 3" xfId="12" xr:uid="{0533F2FA-52A3-4C83-AA15-ADFC5B5A5D8F}"/>
    <cellStyle name="Moneda" xfId="2" builtinId="4"/>
    <cellStyle name="Moneda [0]" xfId="3" builtinId="7"/>
    <cellStyle name="Normal" xfId="0" builtinId="0"/>
    <cellStyle name="Normal 2" xfId="9" xr:uid="{54A645B7-47BD-4F33-9D0D-F61C10C4F99C}"/>
    <cellStyle name="Normal 2 2" xfId="10" xr:uid="{11091DF5-0BA0-4C91-984F-ADC9E5571B0D}"/>
  </cellStyles>
  <dxfs count="31">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scheme val="none"/>
      </font>
      <fill>
        <patternFill>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19"/>
      <sheetName val="Hoja1"/>
      <sheetName val="List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24487D-EF83-402A-8A24-40530F35AAA1}" name="Tabla1" displayName="Tabla1" ref="A5:Z182" totalsRowShown="0" headerRowDxfId="30" dataDxfId="0" headerRowBorderDxfId="28" tableBorderDxfId="29" totalsRowBorderDxfId="27" headerRowCellStyle="BodyStyle" dataCellStyle="BodyStyle">
  <autoFilter ref="A5:Z182" xr:uid="{2034EC0D-FD8C-4126-9C63-8449CE21BD15}"/>
  <tableColumns count="26">
    <tableColumn id="1" xr3:uid="{3860BAC6-79ED-4461-BC29-BD58575555D3}" name="Dependencia Responsable (Selección la que corresponde)" dataDxfId="26" dataCellStyle="BodyStyle"/>
    <tableColumn id="2" xr3:uid="{9B51081B-7802-4EF0-9217-53CEDE97B5D0}" name="Código UNSPSC (cada código separado por ;)" dataDxfId="25" dataCellStyle="Normal 2"/>
    <tableColumn id="3" xr3:uid="{21E097EF-9C6E-4409-873B-C68EE2574020}" name="Descripción (bien o servicio requerido a contratar)" dataDxfId="24" dataCellStyle="Normal 2"/>
    <tableColumn id="4" xr3:uid="{63FE0D39-5D07-4072-A2D9-D6EBD8BF3317}" name="Fecha estimada de radicación en el GGC para iniciar Estudio de Mercado" dataDxfId="23" dataCellStyle="Normal 2"/>
    <tableColumn id="5" xr3:uid="{85CBC65C-ADBB-45A0-8433-30A9C9188820}" name="Fecha (mes) estimada de inicio de proceso de selección (Publicación Proyecto Pliego)" dataDxfId="22" dataCellStyle="Normal 2"/>
    <tableColumn id="6" xr3:uid="{77F221AF-687A-450A-B477-2FF7A294A516}" name="Fecha (mes)  estimada de presentación de ofertas (Cierre del proceso)" dataDxfId="21" dataCellStyle="Normal 2"/>
    <tableColumn id="7" xr3:uid="{B2E80003-CC24-426C-A4CC-60BE43B81076}" name="Duración estimada del contrato (número de Meses o días)" dataDxfId="20"/>
    <tableColumn id="8" xr3:uid="{91CA4DA8-989B-4D29-996C-31016D4606C6}" name="Duración estimada del contrato (intervalo: días, Meses, años)" dataDxfId="19" dataCellStyle="Millares [0]"/>
    <tableColumn id="9" xr3:uid="{C749A157-A1A0-4719-A1F5-4149DEFF379A}" name="Modalidad de selección (seleccione)" dataDxfId="18" dataCellStyle="Normal 2"/>
    <tableColumn id="10" xr3:uid="{6927A9D3-7000-4879-B5EA-46FBC09EAC68}" name="Descripción de la Actividad (según clasificación del presupuesto)" dataDxfId="17" dataCellStyle="BodyStyle"/>
    <tableColumn id="11" xr3:uid="{0CEEC2AD-0B2B-4F42-B0D3-103216FB7E42}" name="Rubro presupuesto" dataDxfId="16" dataCellStyle="Normal 2"/>
    <tableColumn id="12" xr3:uid="{738BEC93-51C0-4406-A583-8B1DCBAB6499}" name="Valor estimado Asignado a Contratar _x000a_(Incluya el valor total de la Contratación si tiene Vigencia Futura. De lo contrario, este valor debe ser igual al de la siguiente columna)" dataDxfId="15" dataCellStyle="Moneda [0]">
      <calculatedColumnFormula>+M6+P6+Q6</calculatedColumnFormula>
    </tableColumn>
    <tableColumn id="13" xr3:uid="{B1846A99-1249-4344-A862-779AF5C02C35}" name="Valor estimado en la vigencia actual" dataDxfId="14" dataCellStyle="Moneda [0]">
      <calculatedColumnFormula>+O6+N6</calculatedColumnFormula>
    </tableColumn>
    <tableColumn id="14" xr3:uid="{ACD2DE62-D84D-4D44-A9CA-E3F3B566AC8A}" name="Fuente de los recursos (reintegración de la vigencia actual)" dataDxfId="13" dataCellStyle="Moneda [0]"/>
    <tableColumn id="15" xr3:uid="{3D7E9157-E63D-4EA9-BB33-3FEE7D115D54}" name="Fuente de los recursos (reincorporación de la vigencia actual)" dataDxfId="12" dataCellStyle="Moneda [0]"/>
    <tableColumn id="27" xr3:uid="{65CA0082-28CD-43B0-8223-A627A72769EB}" name="Valor 2021" dataDxfId="11" dataCellStyle="Moneda [0]">
      <calculatedColumnFormula>5262916643</calculatedColumnFormula>
    </tableColumn>
    <tableColumn id="28" xr3:uid="{EA76B34B-BFFB-42AA-A425-FAC64C0743BC}" name="Valor 2022" dataDxfId="10" dataCellStyle="Moneda [0]"/>
    <tableColumn id="16" xr3:uid="{27DFD787-6A49-4F5B-9429-2BD02D347A5D}" name="¿Se requieren vigencias futuras?" dataDxfId="9" dataCellStyle="BodyStyle"/>
    <tableColumn id="17" xr3:uid="{2F365C1D-F9DE-4460-A472-6BEB52974AF8}" name="Estado de solicitud de vigencias futuras" dataDxfId="8" dataCellStyle="BodyStyle"/>
    <tableColumn id="29" xr3:uid="{48F16A9D-FCD3-4124-9EE7-AC9B4ED1D811}" name="Estado" dataDxfId="7" dataCellStyle="BodyStyle"/>
    <tableColumn id="18" xr3:uid="{A6861849-ABB4-41FB-9D23-E5E90BE1773E}" name="Nombre del Responsable en la Dependencia" dataDxfId="6" dataCellStyle="BodyStyle"/>
    <tableColumn id="19" xr3:uid="{5E2DAC6A-8BCD-42E4-93C9-B8DC070A8DB6}" name="Unidad de contratación (Grupo de Gestión Contractual)" dataDxfId="5" dataCellStyle="BodyStyle"/>
    <tableColumn id="20" xr3:uid="{098BB252-A246-4DA8-B912-7F5ACF4E6297}" name="Ubicación" dataDxfId="4" dataCellStyle="BodyStyle"/>
    <tableColumn id="21" xr3:uid="{DB4166A1-BA83-45F2-A729-237C9C74645C}" name="Nombre del responsable " dataDxfId="3" dataCellStyle="BodyStyle"/>
    <tableColumn id="22" xr3:uid="{A0B458A5-F6DA-4A77-8BBD-FB6FDAB4ADA4}" name="Teléfono del responsable " dataDxfId="2" dataCellStyle="BodyStyle"/>
    <tableColumn id="23" xr3:uid="{1925FFAA-BD1F-4B4C-84ED-0731A6AADD10}"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table" Target="../tables/table1.xm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comments" Target="../comments1.xm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vmlDrawing" Target="../drawings/vmlDrawing1.v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printerSettings" Target="../printerSettings/printerSettings1.bin"/><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F718-E1A4-4D00-B910-60E09529D89B}">
  <dimension ref="A1:BE194"/>
  <sheetViews>
    <sheetView tabSelected="1" view="pageBreakPreview" zoomScale="70" zoomScaleNormal="85" zoomScaleSheetLayoutView="70" workbookViewId="0">
      <pane xSplit="3" ySplit="5" topLeftCell="D6" activePane="bottomRight" state="frozen"/>
      <selection pane="topRight" activeCell="D1" sqref="D1"/>
      <selection pane="bottomLeft" activeCell="A6" sqref="A6"/>
      <selection pane="bottomRight" activeCell="A6" sqref="A6"/>
    </sheetView>
  </sheetViews>
  <sheetFormatPr baseColWidth="10" defaultColWidth="5" defaultRowHeight="12.5" x14ac:dyDescent="0.25"/>
  <cols>
    <col min="1" max="1" width="16.54296875" style="1" customWidth="1"/>
    <col min="2" max="2" width="23.54296875" style="108" customWidth="1"/>
    <col min="3" max="3" width="46.453125" style="109" customWidth="1"/>
    <col min="4" max="4" width="31.81640625" style="108" customWidth="1"/>
    <col min="5" max="8" width="16.26953125" style="108" customWidth="1"/>
    <col min="9" max="9" width="16.453125" style="108" customWidth="1"/>
    <col min="10" max="10" width="39.7265625" style="109" customWidth="1"/>
    <col min="11" max="11" width="18.453125" style="110" customWidth="1"/>
    <col min="12" max="12" width="19.453125" style="110" customWidth="1"/>
    <col min="13" max="13" width="19.453125" style="109" customWidth="1"/>
    <col min="14" max="14" width="20.26953125" style="109" customWidth="1"/>
    <col min="15" max="15" width="20.26953125" style="108" customWidth="1"/>
    <col min="16" max="17" width="18.26953125" style="108" customWidth="1"/>
    <col min="18" max="20" width="16.26953125" style="109" customWidth="1"/>
    <col min="21" max="21" width="16.26953125" style="108" customWidth="1"/>
    <col min="22" max="23" width="16.26953125" style="109" customWidth="1"/>
    <col min="24" max="24" width="16.26953125" style="108" customWidth="1"/>
    <col min="25" max="25" width="16.26953125" style="109" customWidth="1"/>
    <col min="26" max="26" width="42.81640625" style="5" customWidth="1"/>
    <col min="27" max="16384" width="5" style="16"/>
  </cols>
  <sheetData>
    <row r="1" spans="1:57" s="6" customFormat="1" hidden="1" x14ac:dyDescent="0.25">
      <c r="A1" s="1"/>
      <c r="B1" s="2"/>
      <c r="C1" s="3"/>
      <c r="D1" s="2"/>
      <c r="E1" s="2"/>
      <c r="F1" s="2"/>
      <c r="G1" s="2"/>
      <c r="H1" s="2"/>
      <c r="I1" s="2"/>
      <c r="J1" s="3"/>
      <c r="K1" s="4"/>
      <c r="L1" s="4"/>
      <c r="M1" s="3"/>
      <c r="N1" s="3"/>
      <c r="O1" s="2"/>
      <c r="P1" s="2"/>
      <c r="Q1" s="2"/>
      <c r="R1" s="3"/>
      <c r="S1" s="3"/>
      <c r="T1" s="3"/>
      <c r="U1" s="2"/>
      <c r="V1" s="3"/>
      <c r="W1" s="3"/>
      <c r="X1" s="2"/>
      <c r="Y1" s="3"/>
      <c r="Z1" s="5"/>
    </row>
    <row r="2" spans="1:57" s="6" customFormat="1" hidden="1" x14ac:dyDescent="0.25">
      <c r="A2" s="1"/>
      <c r="B2" s="2"/>
      <c r="C2" s="3"/>
      <c r="D2" s="2"/>
      <c r="E2" s="2"/>
      <c r="F2" s="2"/>
      <c r="G2" s="2"/>
      <c r="H2" s="2"/>
      <c r="I2" s="2"/>
      <c r="J2" s="3"/>
      <c r="K2" s="4"/>
      <c r="L2" s="4"/>
      <c r="M2" s="3"/>
      <c r="N2" s="3"/>
      <c r="O2" s="2"/>
      <c r="P2" s="2"/>
      <c r="Q2" s="2"/>
      <c r="R2" s="3"/>
      <c r="S2" s="3"/>
      <c r="T2" s="3"/>
      <c r="U2" s="2"/>
      <c r="V2" s="3"/>
      <c r="W2" s="3"/>
      <c r="X2" s="2"/>
      <c r="Y2" s="3"/>
      <c r="Z2" s="5"/>
    </row>
    <row r="3" spans="1:57"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5"/>
    </row>
    <row r="4" spans="1:57"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5"/>
    </row>
    <row r="5" spans="1:57" ht="109.5" customHeight="1" x14ac:dyDescent="0.25">
      <c r="A5" s="10" t="s">
        <v>1</v>
      </c>
      <c r="B5" s="11" t="s">
        <v>2</v>
      </c>
      <c r="C5" s="12" t="s">
        <v>3</v>
      </c>
      <c r="D5" s="11" t="s">
        <v>4</v>
      </c>
      <c r="E5" s="11" t="s">
        <v>5</v>
      </c>
      <c r="F5" s="11" t="s">
        <v>6</v>
      </c>
      <c r="G5" s="11" t="s">
        <v>7</v>
      </c>
      <c r="H5" s="11" t="s">
        <v>8</v>
      </c>
      <c r="I5" s="11" t="s">
        <v>9</v>
      </c>
      <c r="J5" s="11" t="s">
        <v>10</v>
      </c>
      <c r="K5" s="11" t="s">
        <v>11</v>
      </c>
      <c r="L5" s="11" t="s">
        <v>12</v>
      </c>
      <c r="M5" s="13" t="s">
        <v>13</v>
      </c>
      <c r="N5" s="11" t="s">
        <v>14</v>
      </c>
      <c r="O5" s="11" t="s">
        <v>15</v>
      </c>
      <c r="P5" s="11" t="s">
        <v>16</v>
      </c>
      <c r="Q5" s="11" t="s">
        <v>17</v>
      </c>
      <c r="R5" s="11" t="s">
        <v>18</v>
      </c>
      <c r="S5" s="11" t="s">
        <v>19</v>
      </c>
      <c r="T5" s="11" t="s">
        <v>20</v>
      </c>
      <c r="U5" s="11" t="s">
        <v>21</v>
      </c>
      <c r="V5" s="11" t="s">
        <v>22</v>
      </c>
      <c r="W5" s="11" t="s">
        <v>23</v>
      </c>
      <c r="X5" s="14" t="s">
        <v>24</v>
      </c>
      <c r="Y5" s="11" t="s">
        <v>25</v>
      </c>
      <c r="Z5" s="15" t="s">
        <v>26</v>
      </c>
    </row>
    <row r="6" spans="1:57" ht="168.75" customHeight="1" x14ac:dyDescent="0.25">
      <c r="A6" s="17" t="s">
        <v>28</v>
      </c>
      <c r="B6" s="18" t="s">
        <v>29</v>
      </c>
      <c r="C6" s="19" t="s">
        <v>30</v>
      </c>
      <c r="D6" s="20">
        <v>44012</v>
      </c>
      <c r="E6" s="21" t="s">
        <v>31</v>
      </c>
      <c r="F6" s="21" t="s">
        <v>31</v>
      </c>
      <c r="G6" s="22">
        <v>18</v>
      </c>
      <c r="H6" s="23" t="s">
        <v>32</v>
      </c>
      <c r="I6" s="24" t="s">
        <v>33</v>
      </c>
      <c r="J6" s="25" t="s">
        <v>34</v>
      </c>
      <c r="K6" s="18" t="s">
        <v>35</v>
      </c>
      <c r="L6" s="26">
        <f>+M6+P6+Q6</f>
        <v>1500000000</v>
      </c>
      <c r="M6" s="26">
        <f t="shared" ref="M6:M69" si="0">+O6+N6</f>
        <v>1500000000</v>
      </c>
      <c r="N6" s="27">
        <v>0</v>
      </c>
      <c r="O6" s="28">
        <v>1500000000</v>
      </c>
      <c r="P6" s="27"/>
      <c r="Q6" s="27"/>
      <c r="R6" s="29" t="s">
        <v>36</v>
      </c>
      <c r="S6" s="29" t="s">
        <v>37</v>
      </c>
      <c r="T6" s="29"/>
      <c r="U6" s="29" t="s">
        <v>38</v>
      </c>
      <c r="V6" s="29" t="s">
        <v>39</v>
      </c>
      <c r="W6" s="29" t="s">
        <v>40</v>
      </c>
      <c r="X6" s="29" t="s">
        <v>41</v>
      </c>
      <c r="Y6" s="30" t="s">
        <v>42</v>
      </c>
      <c r="Z6" s="31" t="s">
        <v>43</v>
      </c>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row>
    <row r="7" spans="1:57" ht="87" customHeight="1" x14ac:dyDescent="0.25">
      <c r="A7" s="17" t="s">
        <v>28</v>
      </c>
      <c r="B7" s="18" t="s">
        <v>44</v>
      </c>
      <c r="C7" s="19" t="s">
        <v>45</v>
      </c>
      <c r="D7" s="20"/>
      <c r="E7" s="21"/>
      <c r="F7" s="21"/>
      <c r="G7" s="22">
        <v>8</v>
      </c>
      <c r="H7" s="23" t="s">
        <v>32</v>
      </c>
      <c r="I7" s="24" t="s">
        <v>46</v>
      </c>
      <c r="J7" s="25" t="s">
        <v>47</v>
      </c>
      <c r="K7" s="18" t="s">
        <v>35</v>
      </c>
      <c r="L7" s="26">
        <f>+M7+P7+Q7</f>
        <v>2553183679</v>
      </c>
      <c r="M7" s="26">
        <f t="shared" si="0"/>
        <v>2553183679</v>
      </c>
      <c r="N7" s="27">
        <v>2553183679</v>
      </c>
      <c r="O7" s="27"/>
      <c r="P7" s="27"/>
      <c r="Q7" s="27"/>
      <c r="R7" s="29" t="s">
        <v>36</v>
      </c>
      <c r="S7" s="29" t="s">
        <v>37</v>
      </c>
      <c r="T7" s="29" t="s">
        <v>48</v>
      </c>
      <c r="U7" s="29" t="s">
        <v>38</v>
      </c>
      <c r="V7" s="29" t="s">
        <v>39</v>
      </c>
      <c r="W7" s="29" t="s">
        <v>40</v>
      </c>
      <c r="X7" s="29" t="s">
        <v>41</v>
      </c>
      <c r="Y7" s="30" t="s">
        <v>42</v>
      </c>
      <c r="Z7" s="31" t="s">
        <v>43</v>
      </c>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ht="98.25" customHeight="1" x14ac:dyDescent="0.25">
      <c r="A8" s="17" t="s">
        <v>28</v>
      </c>
      <c r="B8" s="18" t="s">
        <v>44</v>
      </c>
      <c r="C8" s="19" t="s">
        <v>49</v>
      </c>
      <c r="D8" s="20">
        <v>43949</v>
      </c>
      <c r="E8" s="21" t="s">
        <v>50</v>
      </c>
      <c r="F8" s="21" t="s">
        <v>50</v>
      </c>
      <c r="G8" s="22">
        <v>8</v>
      </c>
      <c r="H8" s="23" t="s">
        <v>32</v>
      </c>
      <c r="I8" s="24" t="s">
        <v>51</v>
      </c>
      <c r="J8" s="25" t="s">
        <v>47</v>
      </c>
      <c r="K8" s="18" t="s">
        <v>35</v>
      </c>
      <c r="L8" s="26">
        <f t="shared" ref="L8:L71" si="1">+M8+P8+Q8</f>
        <v>800000000</v>
      </c>
      <c r="M8" s="26">
        <f t="shared" si="0"/>
        <v>800000000</v>
      </c>
      <c r="N8" s="34">
        <v>800000000</v>
      </c>
      <c r="O8" s="34"/>
      <c r="P8" s="27"/>
      <c r="Q8" s="27"/>
      <c r="R8" s="29" t="s">
        <v>36</v>
      </c>
      <c r="S8" s="29" t="s">
        <v>37</v>
      </c>
      <c r="T8" s="29"/>
      <c r="U8" s="29" t="s">
        <v>38</v>
      </c>
      <c r="V8" s="29" t="s">
        <v>39</v>
      </c>
      <c r="W8" s="29" t="s">
        <v>40</v>
      </c>
      <c r="X8" s="29" t="s">
        <v>41</v>
      </c>
      <c r="Y8" s="30" t="s">
        <v>42</v>
      </c>
      <c r="Z8" s="31" t="s">
        <v>43</v>
      </c>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row>
    <row r="9" spans="1:57" ht="57.75" customHeight="1" x14ac:dyDescent="0.25">
      <c r="A9" s="17" t="s">
        <v>28</v>
      </c>
      <c r="B9" s="18" t="s">
        <v>44</v>
      </c>
      <c r="C9" s="19" t="s">
        <v>52</v>
      </c>
      <c r="D9" s="20"/>
      <c r="E9" s="21"/>
      <c r="F9" s="21"/>
      <c r="G9" s="22"/>
      <c r="H9" s="23"/>
      <c r="I9" s="24" t="s">
        <v>46</v>
      </c>
      <c r="J9" s="25" t="s">
        <v>53</v>
      </c>
      <c r="K9" s="18" t="s">
        <v>35</v>
      </c>
      <c r="L9" s="26">
        <f t="shared" si="1"/>
        <v>2836535605</v>
      </c>
      <c r="M9" s="26">
        <f t="shared" si="0"/>
        <v>2836535605</v>
      </c>
      <c r="N9" s="26"/>
      <c r="O9" s="34">
        <v>2836535605</v>
      </c>
      <c r="P9" s="27"/>
      <c r="Q9" s="27"/>
      <c r="R9" s="29" t="s">
        <v>36</v>
      </c>
      <c r="S9" s="29" t="s">
        <v>37</v>
      </c>
      <c r="T9" s="29" t="s">
        <v>48</v>
      </c>
      <c r="U9" s="29" t="s">
        <v>38</v>
      </c>
      <c r="V9" s="29" t="s">
        <v>39</v>
      </c>
      <c r="W9" s="29" t="s">
        <v>40</v>
      </c>
      <c r="X9" s="29" t="s">
        <v>41</v>
      </c>
      <c r="Y9" s="30" t="s">
        <v>42</v>
      </c>
      <c r="Z9" s="31" t="s">
        <v>43</v>
      </c>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ht="99" customHeight="1" x14ac:dyDescent="0.25">
      <c r="A10" s="17" t="s">
        <v>28</v>
      </c>
      <c r="B10" s="18" t="s">
        <v>54</v>
      </c>
      <c r="C10" s="40" t="s">
        <v>55</v>
      </c>
      <c r="D10" s="20"/>
      <c r="E10" s="29"/>
      <c r="F10" s="29"/>
      <c r="G10" s="37"/>
      <c r="H10" s="29" t="s">
        <v>32</v>
      </c>
      <c r="I10" s="24" t="s">
        <v>46</v>
      </c>
      <c r="J10" s="40" t="s">
        <v>56</v>
      </c>
      <c r="K10" s="18" t="s">
        <v>35</v>
      </c>
      <c r="L10" s="26">
        <f t="shared" si="1"/>
        <v>1051718685</v>
      </c>
      <c r="M10" s="26">
        <f t="shared" si="0"/>
        <v>1051718685</v>
      </c>
      <c r="N10" s="26">
        <v>1051718685</v>
      </c>
      <c r="O10" s="26"/>
      <c r="P10" s="26"/>
      <c r="Q10" s="26"/>
      <c r="R10" s="29" t="s">
        <v>36</v>
      </c>
      <c r="S10" s="29" t="s">
        <v>57</v>
      </c>
      <c r="T10" s="29" t="s">
        <v>48</v>
      </c>
      <c r="U10" s="29" t="s">
        <v>38</v>
      </c>
      <c r="V10" s="29" t="s">
        <v>39</v>
      </c>
      <c r="W10" s="29" t="s">
        <v>40</v>
      </c>
      <c r="X10" s="29" t="s">
        <v>41</v>
      </c>
      <c r="Y10" s="30" t="s">
        <v>58</v>
      </c>
      <c r="Z10" s="31" t="s">
        <v>43</v>
      </c>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row>
    <row r="11" spans="1:57" ht="116.25" customHeight="1" x14ac:dyDescent="0.25">
      <c r="A11" s="17" t="s">
        <v>28</v>
      </c>
      <c r="B11" s="18" t="s">
        <v>29</v>
      </c>
      <c r="C11" s="19" t="s">
        <v>59</v>
      </c>
      <c r="D11" s="20">
        <v>43951</v>
      </c>
      <c r="E11" s="29" t="s">
        <v>50</v>
      </c>
      <c r="F11" s="35" t="s">
        <v>50</v>
      </c>
      <c r="G11" s="22">
        <v>7</v>
      </c>
      <c r="H11" s="23" t="s">
        <v>32</v>
      </c>
      <c r="I11" s="24" t="s">
        <v>33</v>
      </c>
      <c r="J11" s="25" t="s">
        <v>60</v>
      </c>
      <c r="K11" s="18" t="s">
        <v>35</v>
      </c>
      <c r="L11" s="26">
        <f t="shared" si="1"/>
        <v>4120000000</v>
      </c>
      <c r="M11" s="26">
        <f t="shared" si="0"/>
        <v>4120000000</v>
      </c>
      <c r="N11" s="27">
        <v>0</v>
      </c>
      <c r="O11" s="27">
        <v>4120000000</v>
      </c>
      <c r="P11" s="27"/>
      <c r="Q11" s="27"/>
      <c r="R11" s="29" t="s">
        <v>36</v>
      </c>
      <c r="S11" s="29" t="s">
        <v>37</v>
      </c>
      <c r="T11" s="29"/>
      <c r="U11" s="29" t="s">
        <v>38</v>
      </c>
      <c r="V11" s="29" t="s">
        <v>39</v>
      </c>
      <c r="W11" s="29" t="s">
        <v>40</v>
      </c>
      <c r="X11" s="29" t="s">
        <v>41</v>
      </c>
      <c r="Y11" s="30" t="s">
        <v>42</v>
      </c>
      <c r="Z11" s="31" t="s">
        <v>43</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row>
    <row r="12" spans="1:57" ht="144" customHeight="1" x14ac:dyDescent="0.25">
      <c r="A12" s="17" t="s">
        <v>61</v>
      </c>
      <c r="B12" s="18" t="s">
        <v>29</v>
      </c>
      <c r="C12" s="19" t="s">
        <v>62</v>
      </c>
      <c r="D12" s="20">
        <v>43889</v>
      </c>
      <c r="E12" s="29" t="s">
        <v>63</v>
      </c>
      <c r="F12" s="35" t="s">
        <v>64</v>
      </c>
      <c r="G12" s="37">
        <v>8</v>
      </c>
      <c r="H12" s="23" t="s">
        <v>32</v>
      </c>
      <c r="I12" s="24" t="s">
        <v>65</v>
      </c>
      <c r="J12" s="25" t="s">
        <v>66</v>
      </c>
      <c r="K12" s="18" t="s">
        <v>35</v>
      </c>
      <c r="L12" s="26">
        <f t="shared" si="1"/>
        <v>400000000</v>
      </c>
      <c r="M12" s="26">
        <f t="shared" si="0"/>
        <v>400000000</v>
      </c>
      <c r="N12" s="27">
        <v>200000000</v>
      </c>
      <c r="O12" s="27">
        <v>200000000</v>
      </c>
      <c r="P12" s="27"/>
      <c r="Q12" s="27"/>
      <c r="R12" s="29" t="s">
        <v>36</v>
      </c>
      <c r="S12" s="29" t="s">
        <v>37</v>
      </c>
      <c r="T12" s="29" t="s">
        <v>67</v>
      </c>
      <c r="U12" s="29" t="s">
        <v>68</v>
      </c>
      <c r="V12" s="29" t="s">
        <v>39</v>
      </c>
      <c r="W12" s="29" t="s">
        <v>40</v>
      </c>
      <c r="X12" s="29" t="s">
        <v>41</v>
      </c>
      <c r="Y12" s="30" t="s">
        <v>42</v>
      </c>
      <c r="Z12" s="31" t="s">
        <v>43</v>
      </c>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row>
    <row r="13" spans="1:57" ht="124.5" customHeight="1" x14ac:dyDescent="0.25">
      <c r="A13" s="17" t="s">
        <v>61</v>
      </c>
      <c r="B13" s="18">
        <v>86101700</v>
      </c>
      <c r="C13" s="19" t="s">
        <v>69</v>
      </c>
      <c r="D13" s="36">
        <v>43951</v>
      </c>
      <c r="E13" s="29" t="s">
        <v>50</v>
      </c>
      <c r="F13" s="35" t="s">
        <v>31</v>
      </c>
      <c r="G13" s="37">
        <v>6</v>
      </c>
      <c r="H13" s="23" t="s">
        <v>32</v>
      </c>
      <c r="I13" s="24" t="s">
        <v>65</v>
      </c>
      <c r="J13" s="25" t="s">
        <v>70</v>
      </c>
      <c r="K13" s="18"/>
      <c r="L13" s="26">
        <f>+M13+P13+Q13</f>
        <v>500000000</v>
      </c>
      <c r="M13" s="26">
        <f t="shared" si="0"/>
        <v>500000000</v>
      </c>
      <c r="N13" s="27"/>
      <c r="O13" s="27">
        <v>500000000</v>
      </c>
      <c r="P13" s="38"/>
      <c r="Q13" s="26"/>
      <c r="R13" s="29" t="s">
        <v>36</v>
      </c>
      <c r="S13" s="29" t="s">
        <v>37</v>
      </c>
      <c r="T13" s="29"/>
      <c r="U13" s="29" t="s">
        <v>68</v>
      </c>
      <c r="V13" s="29" t="s">
        <v>39</v>
      </c>
      <c r="W13" s="29" t="s">
        <v>40</v>
      </c>
      <c r="X13" s="29" t="s">
        <v>41</v>
      </c>
      <c r="Y13" s="30" t="s">
        <v>42</v>
      </c>
      <c r="Z13" s="31" t="s">
        <v>43</v>
      </c>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row>
    <row r="14" spans="1:57" ht="173.25" customHeight="1" x14ac:dyDescent="0.25">
      <c r="A14" s="17" t="s">
        <v>71</v>
      </c>
      <c r="B14" s="24">
        <v>84131601</v>
      </c>
      <c r="C14" s="19" t="s">
        <v>72</v>
      </c>
      <c r="D14" s="20">
        <v>43868</v>
      </c>
      <c r="E14" s="21" t="s">
        <v>73</v>
      </c>
      <c r="F14" s="29" t="s">
        <v>50</v>
      </c>
      <c r="G14" s="29" t="s">
        <v>74</v>
      </c>
      <c r="H14" s="23" t="s">
        <v>32</v>
      </c>
      <c r="I14" s="24" t="s">
        <v>75</v>
      </c>
      <c r="J14" s="40" t="s">
        <v>76</v>
      </c>
      <c r="K14" s="18" t="s">
        <v>35</v>
      </c>
      <c r="L14" s="26">
        <f t="shared" si="1"/>
        <v>407301230</v>
      </c>
      <c r="M14" s="26">
        <f t="shared" si="0"/>
        <v>407301230</v>
      </c>
      <c r="N14" s="47">
        <f>87393264+81145176</f>
        <v>168538440</v>
      </c>
      <c r="O14" s="47">
        <f>174489272+64273518</f>
        <v>238762790</v>
      </c>
      <c r="P14" s="26"/>
      <c r="Q14" s="26"/>
      <c r="R14" s="29" t="s">
        <v>36</v>
      </c>
      <c r="S14" s="29" t="s">
        <v>37</v>
      </c>
      <c r="T14" s="29" t="s">
        <v>67</v>
      </c>
      <c r="U14" s="29" t="s">
        <v>77</v>
      </c>
      <c r="V14" s="29" t="s">
        <v>39</v>
      </c>
      <c r="W14" s="29" t="s">
        <v>40</v>
      </c>
      <c r="X14" s="29" t="s">
        <v>41</v>
      </c>
      <c r="Y14" s="30" t="s">
        <v>42</v>
      </c>
      <c r="Z14" s="31" t="s">
        <v>43</v>
      </c>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ht="69.75" customHeight="1" x14ac:dyDescent="0.25">
      <c r="A15" s="17" t="s">
        <v>61</v>
      </c>
      <c r="B15" s="18" t="s">
        <v>78</v>
      </c>
      <c r="C15" s="19" t="s">
        <v>79</v>
      </c>
      <c r="D15" s="20">
        <v>43903</v>
      </c>
      <c r="E15" s="21" t="s">
        <v>64</v>
      </c>
      <c r="F15" s="21" t="s">
        <v>64</v>
      </c>
      <c r="G15" s="29" t="s">
        <v>80</v>
      </c>
      <c r="H15" s="23" t="s">
        <v>32</v>
      </c>
      <c r="I15" s="19" t="s">
        <v>33</v>
      </c>
      <c r="J15" s="25" t="s">
        <v>81</v>
      </c>
      <c r="K15" s="51" t="s">
        <v>35</v>
      </c>
      <c r="L15" s="26">
        <f>+M15+P15+Q15</f>
        <v>2021028215</v>
      </c>
      <c r="M15" s="26">
        <f t="shared" si="0"/>
        <v>2021028215</v>
      </c>
      <c r="N15" s="26">
        <f>500000000-150000000</f>
        <v>350000000</v>
      </c>
      <c r="O15" s="26">
        <v>1671028215</v>
      </c>
      <c r="P15" s="47"/>
      <c r="Q15" s="47"/>
      <c r="R15" s="29" t="s">
        <v>36</v>
      </c>
      <c r="S15" s="29" t="s">
        <v>37</v>
      </c>
      <c r="T15" s="29" t="s">
        <v>67</v>
      </c>
      <c r="U15" s="29" t="s">
        <v>82</v>
      </c>
      <c r="V15" s="29" t="s">
        <v>39</v>
      </c>
      <c r="W15" s="29" t="s">
        <v>40</v>
      </c>
      <c r="X15" s="29" t="s">
        <v>41</v>
      </c>
      <c r="Y15" s="30" t="s">
        <v>42</v>
      </c>
      <c r="Z15" s="31" t="s">
        <v>43</v>
      </c>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row>
    <row r="16" spans="1:57" ht="88" customHeight="1" x14ac:dyDescent="0.25">
      <c r="A16" s="17" t="s">
        <v>83</v>
      </c>
      <c r="B16" s="24" t="s">
        <v>84</v>
      </c>
      <c r="C16" s="43" t="s">
        <v>85</v>
      </c>
      <c r="D16" s="20">
        <v>43889</v>
      </c>
      <c r="E16" s="29" t="s">
        <v>63</v>
      </c>
      <c r="F16" s="35" t="s">
        <v>64</v>
      </c>
      <c r="G16" s="55" t="s">
        <v>80</v>
      </c>
      <c r="H16" s="23" t="s">
        <v>32</v>
      </c>
      <c r="I16" s="24" t="s">
        <v>65</v>
      </c>
      <c r="J16" s="40" t="s">
        <v>86</v>
      </c>
      <c r="K16" s="18" t="s">
        <v>35</v>
      </c>
      <c r="L16" s="26">
        <f t="shared" si="1"/>
        <v>600000000</v>
      </c>
      <c r="M16" s="26">
        <f t="shared" si="0"/>
        <v>600000000</v>
      </c>
      <c r="N16" s="26">
        <v>600000000</v>
      </c>
      <c r="O16" s="47"/>
      <c r="P16" s="26"/>
      <c r="Q16" s="26"/>
      <c r="R16" s="29" t="s">
        <v>36</v>
      </c>
      <c r="S16" s="29" t="s">
        <v>37</v>
      </c>
      <c r="T16" s="29" t="s">
        <v>67</v>
      </c>
      <c r="U16" s="29" t="s">
        <v>87</v>
      </c>
      <c r="V16" s="29" t="s">
        <v>39</v>
      </c>
      <c r="W16" s="29" t="s">
        <v>40</v>
      </c>
      <c r="X16" s="29" t="s">
        <v>41</v>
      </c>
      <c r="Y16" s="30" t="s">
        <v>42</v>
      </c>
      <c r="Z16" s="31" t="s">
        <v>43</v>
      </c>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row>
    <row r="17" spans="1:57" ht="228" customHeight="1" x14ac:dyDescent="0.25">
      <c r="A17" s="17" t="s">
        <v>88</v>
      </c>
      <c r="B17" s="24" t="s">
        <v>89</v>
      </c>
      <c r="C17" s="19" t="s">
        <v>90</v>
      </c>
      <c r="D17" s="20">
        <v>43889</v>
      </c>
      <c r="E17" s="29" t="s">
        <v>63</v>
      </c>
      <c r="F17" s="29" t="s">
        <v>63</v>
      </c>
      <c r="G17" s="37">
        <v>9</v>
      </c>
      <c r="H17" s="29" t="s">
        <v>32</v>
      </c>
      <c r="I17" s="24" t="s">
        <v>33</v>
      </c>
      <c r="J17" s="40" t="s">
        <v>91</v>
      </c>
      <c r="K17" s="18" t="s">
        <v>92</v>
      </c>
      <c r="L17" s="26">
        <f t="shared" si="1"/>
        <v>4901250000</v>
      </c>
      <c r="M17" s="26">
        <f t="shared" si="0"/>
        <v>4901250000</v>
      </c>
      <c r="N17" s="26"/>
      <c r="O17" s="26">
        <f>3101250000+1800000000</f>
        <v>4901250000</v>
      </c>
      <c r="P17" s="26"/>
      <c r="Q17" s="26"/>
      <c r="R17" s="29" t="s">
        <v>36</v>
      </c>
      <c r="S17" s="29" t="s">
        <v>37</v>
      </c>
      <c r="T17" s="29" t="s">
        <v>67</v>
      </c>
      <c r="U17" s="29" t="s">
        <v>82</v>
      </c>
      <c r="V17" s="29" t="s">
        <v>39</v>
      </c>
      <c r="W17" s="29" t="s">
        <v>40</v>
      </c>
      <c r="X17" s="29" t="s">
        <v>41</v>
      </c>
      <c r="Y17" s="30" t="s">
        <v>93</v>
      </c>
      <c r="Z17" s="31" t="s">
        <v>43</v>
      </c>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row>
    <row r="18" spans="1:57" ht="71.25" customHeight="1" x14ac:dyDescent="0.25">
      <c r="A18" s="17" t="s">
        <v>94</v>
      </c>
      <c r="B18" s="24" t="s">
        <v>95</v>
      </c>
      <c r="C18" s="19" t="s">
        <v>96</v>
      </c>
      <c r="D18" s="20">
        <v>43861</v>
      </c>
      <c r="E18" s="29" t="s">
        <v>73</v>
      </c>
      <c r="F18" s="29" t="s">
        <v>73</v>
      </c>
      <c r="G18" s="37">
        <v>10</v>
      </c>
      <c r="H18" s="23" t="s">
        <v>32</v>
      </c>
      <c r="I18" s="24" t="s">
        <v>33</v>
      </c>
      <c r="J18" s="40" t="s">
        <v>97</v>
      </c>
      <c r="K18" s="18" t="s">
        <v>35</v>
      </c>
      <c r="L18" s="26">
        <f t="shared" si="1"/>
        <v>482131298.88</v>
      </c>
      <c r="M18" s="26">
        <f t="shared" si="0"/>
        <v>482131298.88</v>
      </c>
      <c r="N18" s="26">
        <v>482131298.88</v>
      </c>
      <c r="O18" s="26">
        <v>0</v>
      </c>
      <c r="P18" s="26"/>
      <c r="Q18" s="26"/>
      <c r="R18" s="29" t="s">
        <v>36</v>
      </c>
      <c r="S18" s="29" t="s">
        <v>37</v>
      </c>
      <c r="T18" s="29" t="s">
        <v>98</v>
      </c>
      <c r="U18" s="29" t="s">
        <v>99</v>
      </c>
      <c r="V18" s="29" t="s">
        <v>39</v>
      </c>
      <c r="W18" s="29" t="s">
        <v>40</v>
      </c>
      <c r="X18" s="29" t="s">
        <v>41</v>
      </c>
      <c r="Y18" s="30" t="s">
        <v>42</v>
      </c>
      <c r="Z18" s="31" t="s">
        <v>43</v>
      </c>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row>
    <row r="19" spans="1:57" ht="156.75" customHeight="1" x14ac:dyDescent="0.25">
      <c r="A19" s="17" t="s">
        <v>100</v>
      </c>
      <c r="B19" s="24" t="s">
        <v>101</v>
      </c>
      <c r="C19" s="43" t="s">
        <v>102</v>
      </c>
      <c r="D19" s="20">
        <v>43889</v>
      </c>
      <c r="E19" s="29" t="s">
        <v>63</v>
      </c>
      <c r="F19" s="35" t="s">
        <v>64</v>
      </c>
      <c r="G19" s="37">
        <v>8</v>
      </c>
      <c r="H19" s="23" t="s">
        <v>32</v>
      </c>
      <c r="I19" s="24" t="s">
        <v>65</v>
      </c>
      <c r="J19" s="40" t="s">
        <v>103</v>
      </c>
      <c r="K19" s="18" t="s">
        <v>35</v>
      </c>
      <c r="L19" s="26">
        <f t="shared" si="1"/>
        <v>2396957500</v>
      </c>
      <c r="M19" s="26">
        <f t="shared" si="0"/>
        <v>2396957500</v>
      </c>
      <c r="N19" s="26">
        <f>199292730+56267860</f>
        <v>255560590</v>
      </c>
      <c r="O19" s="26">
        <f>1916325470+225071440</f>
        <v>2141396910</v>
      </c>
      <c r="P19" s="26"/>
      <c r="Q19" s="26"/>
      <c r="R19" s="29" t="s">
        <v>36</v>
      </c>
      <c r="S19" s="29" t="s">
        <v>37</v>
      </c>
      <c r="T19" s="29" t="s">
        <v>67</v>
      </c>
      <c r="U19" s="29" t="s">
        <v>104</v>
      </c>
      <c r="V19" s="29" t="s">
        <v>39</v>
      </c>
      <c r="W19" s="29" t="s">
        <v>40</v>
      </c>
      <c r="X19" s="29" t="s">
        <v>41</v>
      </c>
      <c r="Y19" s="30" t="s">
        <v>42</v>
      </c>
      <c r="Z19" s="31" t="s">
        <v>43</v>
      </c>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row>
    <row r="20" spans="1:57" ht="156.75" customHeight="1" x14ac:dyDescent="0.25">
      <c r="A20" s="17" t="s">
        <v>88</v>
      </c>
      <c r="B20" s="24" t="s">
        <v>105</v>
      </c>
      <c r="C20" s="19" t="s">
        <v>106</v>
      </c>
      <c r="D20" s="20">
        <v>43889</v>
      </c>
      <c r="E20" s="29" t="s">
        <v>63</v>
      </c>
      <c r="F20" s="35" t="s">
        <v>63</v>
      </c>
      <c r="G20" s="37">
        <v>9</v>
      </c>
      <c r="H20" s="23" t="s">
        <v>32</v>
      </c>
      <c r="I20" s="24" t="s">
        <v>33</v>
      </c>
      <c r="J20" s="40" t="s">
        <v>107</v>
      </c>
      <c r="K20" s="18" t="s">
        <v>108</v>
      </c>
      <c r="L20" s="26">
        <f t="shared" si="1"/>
        <v>350000000</v>
      </c>
      <c r="M20" s="26">
        <f t="shared" si="0"/>
        <v>350000000</v>
      </c>
      <c r="N20" s="26"/>
      <c r="O20" s="26">
        <v>350000000</v>
      </c>
      <c r="P20" s="26"/>
      <c r="Q20" s="26"/>
      <c r="R20" s="29" t="s">
        <v>36</v>
      </c>
      <c r="S20" s="29" t="s">
        <v>37</v>
      </c>
      <c r="T20" s="29" t="s">
        <v>67</v>
      </c>
      <c r="U20" s="29" t="s">
        <v>82</v>
      </c>
      <c r="V20" s="29" t="s">
        <v>109</v>
      </c>
      <c r="W20" s="29" t="s">
        <v>40</v>
      </c>
      <c r="X20" s="29" t="s">
        <v>41</v>
      </c>
      <c r="Y20" s="30" t="s">
        <v>110</v>
      </c>
      <c r="Z20" s="31" t="s">
        <v>43</v>
      </c>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row>
    <row r="21" spans="1:57" ht="156.75" customHeight="1" x14ac:dyDescent="0.25">
      <c r="A21" s="17" t="s">
        <v>100</v>
      </c>
      <c r="B21" s="24" t="s">
        <v>111</v>
      </c>
      <c r="C21" s="19" t="s">
        <v>112</v>
      </c>
      <c r="D21" s="20">
        <v>43921</v>
      </c>
      <c r="E21" s="29" t="s">
        <v>64</v>
      </c>
      <c r="F21" s="29" t="s">
        <v>64</v>
      </c>
      <c r="G21" s="112">
        <v>8</v>
      </c>
      <c r="H21" s="23" t="s">
        <v>32</v>
      </c>
      <c r="I21" s="24" t="s">
        <v>33</v>
      </c>
      <c r="J21" s="40" t="s">
        <v>113</v>
      </c>
      <c r="K21" s="18" t="s">
        <v>35</v>
      </c>
      <c r="L21" s="26">
        <f t="shared" si="1"/>
        <v>3500000000</v>
      </c>
      <c r="M21" s="26">
        <f t="shared" si="0"/>
        <v>3500000000</v>
      </c>
      <c r="N21" s="26">
        <f>463535700+64651618</f>
        <v>528187318</v>
      </c>
      <c r="O21" s="26">
        <f>2627017700+344794982</f>
        <v>2971812682</v>
      </c>
      <c r="P21" s="26"/>
      <c r="Q21" s="26"/>
      <c r="R21" s="29" t="s">
        <v>36</v>
      </c>
      <c r="S21" s="29" t="s">
        <v>37</v>
      </c>
      <c r="T21" s="29" t="s">
        <v>67</v>
      </c>
      <c r="U21" s="29" t="s">
        <v>104</v>
      </c>
      <c r="V21" s="29" t="s">
        <v>39</v>
      </c>
      <c r="W21" s="29" t="s">
        <v>40</v>
      </c>
      <c r="X21" s="29" t="s">
        <v>41</v>
      </c>
      <c r="Y21" s="30" t="s">
        <v>42</v>
      </c>
      <c r="Z21" s="31" t="s">
        <v>43</v>
      </c>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row>
    <row r="22" spans="1:57" ht="166.5" customHeight="1" x14ac:dyDescent="0.25">
      <c r="A22" s="17" t="s">
        <v>114</v>
      </c>
      <c r="B22" s="24" t="s">
        <v>115</v>
      </c>
      <c r="C22" s="19" t="s">
        <v>116</v>
      </c>
      <c r="D22" s="39">
        <v>43951</v>
      </c>
      <c r="E22" s="29" t="s">
        <v>50</v>
      </c>
      <c r="F22" s="29" t="s">
        <v>50</v>
      </c>
      <c r="G22" s="37">
        <v>7</v>
      </c>
      <c r="H22" s="23" t="s">
        <v>32</v>
      </c>
      <c r="I22" s="24" t="s">
        <v>33</v>
      </c>
      <c r="J22" s="40" t="s">
        <v>117</v>
      </c>
      <c r="K22" s="18" t="s">
        <v>118</v>
      </c>
      <c r="L22" s="26">
        <f t="shared" si="1"/>
        <v>306074960</v>
      </c>
      <c r="M22" s="26">
        <f t="shared" si="0"/>
        <v>306074960</v>
      </c>
      <c r="N22" s="26">
        <f>306074960</f>
        <v>306074960</v>
      </c>
      <c r="O22" s="26"/>
      <c r="P22" s="26"/>
      <c r="Q22" s="26"/>
      <c r="R22" s="29" t="s">
        <v>36</v>
      </c>
      <c r="S22" s="29" t="s">
        <v>37</v>
      </c>
      <c r="T22" s="29"/>
      <c r="U22" s="29" t="s">
        <v>119</v>
      </c>
      <c r="V22" s="29" t="s">
        <v>39</v>
      </c>
      <c r="W22" s="29" t="s">
        <v>40</v>
      </c>
      <c r="X22" s="29" t="s">
        <v>41</v>
      </c>
      <c r="Y22" s="30" t="s">
        <v>42</v>
      </c>
      <c r="Z22" s="31" t="s">
        <v>43</v>
      </c>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row>
    <row r="23" spans="1:57" ht="86.25" customHeight="1" x14ac:dyDescent="0.25">
      <c r="A23" s="17" t="s">
        <v>100</v>
      </c>
      <c r="B23" s="24" t="s">
        <v>115</v>
      </c>
      <c r="C23" s="19" t="s">
        <v>120</v>
      </c>
      <c r="D23" s="20">
        <v>43980</v>
      </c>
      <c r="E23" s="29" t="s">
        <v>31</v>
      </c>
      <c r="F23" s="29" t="s">
        <v>31</v>
      </c>
      <c r="G23" s="37">
        <v>7</v>
      </c>
      <c r="H23" s="23" t="s">
        <v>32</v>
      </c>
      <c r="I23" s="24" t="s">
        <v>33</v>
      </c>
      <c r="J23" s="40" t="s">
        <v>121</v>
      </c>
      <c r="K23" s="18" t="s">
        <v>118</v>
      </c>
      <c r="L23" s="26">
        <f t="shared" si="1"/>
        <v>1559119960</v>
      </c>
      <c r="M23" s="26">
        <f t="shared" si="0"/>
        <v>1559119960</v>
      </c>
      <c r="N23" s="26">
        <f>559119960+500000000</f>
        <v>1059119960</v>
      </c>
      <c r="O23" s="26">
        <v>500000000</v>
      </c>
      <c r="P23" s="38"/>
      <c r="Q23" s="26"/>
      <c r="R23" s="29" t="s">
        <v>36</v>
      </c>
      <c r="S23" s="29" t="s">
        <v>37</v>
      </c>
      <c r="T23" s="29"/>
      <c r="U23" s="29" t="s">
        <v>119</v>
      </c>
      <c r="V23" s="29" t="s">
        <v>39</v>
      </c>
      <c r="W23" s="29" t="s">
        <v>40</v>
      </c>
      <c r="X23" s="29" t="s">
        <v>41</v>
      </c>
      <c r="Y23" s="30" t="s">
        <v>42</v>
      </c>
      <c r="Z23" s="41" t="s">
        <v>43</v>
      </c>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row>
    <row r="24" spans="1:57" ht="144.75" customHeight="1" x14ac:dyDescent="0.25">
      <c r="A24" s="17" t="s">
        <v>28</v>
      </c>
      <c r="B24" s="24" t="s">
        <v>122</v>
      </c>
      <c r="C24" s="19" t="s">
        <v>123</v>
      </c>
      <c r="D24" s="20">
        <v>43889</v>
      </c>
      <c r="E24" s="21" t="s">
        <v>63</v>
      </c>
      <c r="F24" s="21" t="s">
        <v>63</v>
      </c>
      <c r="G24" s="37">
        <v>8</v>
      </c>
      <c r="H24" s="29" t="s">
        <v>32</v>
      </c>
      <c r="I24" s="24" t="s">
        <v>124</v>
      </c>
      <c r="J24" s="40" t="s">
        <v>125</v>
      </c>
      <c r="K24" s="18" t="s">
        <v>126</v>
      </c>
      <c r="L24" s="26">
        <f t="shared" si="1"/>
        <v>259314777</v>
      </c>
      <c r="M24" s="26">
        <f t="shared" si="0"/>
        <v>259314777</v>
      </c>
      <c r="N24" s="26">
        <v>259314777</v>
      </c>
      <c r="O24" s="26"/>
      <c r="P24" s="38"/>
      <c r="Q24" s="26"/>
      <c r="R24" s="29" t="s">
        <v>36</v>
      </c>
      <c r="S24" s="29" t="s">
        <v>37</v>
      </c>
      <c r="T24" s="29"/>
      <c r="U24" s="29" t="s">
        <v>127</v>
      </c>
      <c r="V24" s="29" t="s">
        <v>39</v>
      </c>
      <c r="W24" s="29" t="s">
        <v>40</v>
      </c>
      <c r="X24" s="29" t="s">
        <v>41</v>
      </c>
      <c r="Y24" s="30" t="s">
        <v>42</v>
      </c>
      <c r="Z24" s="41" t="s">
        <v>43</v>
      </c>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row>
    <row r="25" spans="1:57" ht="144.75" customHeight="1" x14ac:dyDescent="0.25">
      <c r="A25" s="17" t="s">
        <v>28</v>
      </c>
      <c r="B25" s="24">
        <v>80111500</v>
      </c>
      <c r="C25" s="19" t="s">
        <v>128</v>
      </c>
      <c r="D25" s="20">
        <v>43889</v>
      </c>
      <c r="E25" s="29" t="s">
        <v>63</v>
      </c>
      <c r="F25" s="29" t="s">
        <v>63</v>
      </c>
      <c r="G25" s="37">
        <v>5</v>
      </c>
      <c r="H25" s="23" t="s">
        <v>32</v>
      </c>
      <c r="I25" s="24" t="s">
        <v>33</v>
      </c>
      <c r="J25" s="40" t="s">
        <v>129</v>
      </c>
      <c r="K25" s="18" t="s">
        <v>35</v>
      </c>
      <c r="L25" s="26">
        <f t="shared" si="1"/>
        <v>500000000</v>
      </c>
      <c r="M25" s="26">
        <f t="shared" si="0"/>
        <v>500000000</v>
      </c>
      <c r="N25" s="26"/>
      <c r="O25" s="26">
        <v>500000000</v>
      </c>
      <c r="P25" s="26"/>
      <c r="Q25" s="26"/>
      <c r="R25" s="29" t="s">
        <v>36</v>
      </c>
      <c r="S25" s="29" t="s">
        <v>37</v>
      </c>
      <c r="T25" s="29"/>
      <c r="U25" s="29" t="s">
        <v>130</v>
      </c>
      <c r="V25" s="29" t="s">
        <v>39</v>
      </c>
      <c r="W25" s="29" t="s">
        <v>40</v>
      </c>
      <c r="X25" s="29" t="s">
        <v>41</v>
      </c>
      <c r="Y25" s="30" t="s">
        <v>42</v>
      </c>
      <c r="Z25" s="31" t="s">
        <v>43</v>
      </c>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row>
    <row r="26" spans="1:57" ht="71.25" customHeight="1" x14ac:dyDescent="0.25">
      <c r="A26" s="17" t="s">
        <v>131</v>
      </c>
      <c r="B26" s="24">
        <v>80111500</v>
      </c>
      <c r="C26" s="19" t="s">
        <v>132</v>
      </c>
      <c r="D26" s="20"/>
      <c r="E26" s="29"/>
      <c r="F26" s="29"/>
      <c r="G26" s="37"/>
      <c r="H26" s="29"/>
      <c r="I26" s="24" t="s">
        <v>33</v>
      </c>
      <c r="J26" s="40" t="s">
        <v>133</v>
      </c>
      <c r="K26" s="18" t="s">
        <v>35</v>
      </c>
      <c r="L26" s="26">
        <f>+M26+P26+Q26</f>
        <v>1674983232</v>
      </c>
      <c r="M26" s="26">
        <f t="shared" si="0"/>
        <v>1674983232</v>
      </c>
      <c r="N26" s="26">
        <v>0</v>
      </c>
      <c r="O26" s="26">
        <f>1674983232</f>
        <v>1674983232</v>
      </c>
      <c r="P26" s="26"/>
      <c r="Q26" s="26"/>
      <c r="R26" s="29" t="s">
        <v>36</v>
      </c>
      <c r="S26" s="29" t="s">
        <v>37</v>
      </c>
      <c r="T26" s="29" t="s">
        <v>98</v>
      </c>
      <c r="U26" s="29" t="s">
        <v>134</v>
      </c>
      <c r="V26" s="29" t="s">
        <v>39</v>
      </c>
      <c r="W26" s="29" t="s">
        <v>40</v>
      </c>
      <c r="X26" s="29" t="s">
        <v>41</v>
      </c>
      <c r="Y26" s="30" t="s">
        <v>42</v>
      </c>
      <c r="Z26" s="31" t="s">
        <v>43</v>
      </c>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row>
    <row r="27" spans="1:57" ht="129.75" customHeight="1" x14ac:dyDescent="0.25">
      <c r="A27" s="17" t="s">
        <v>131</v>
      </c>
      <c r="B27" s="18">
        <v>80111500</v>
      </c>
      <c r="C27" s="19" t="s">
        <v>135</v>
      </c>
      <c r="D27" s="20"/>
      <c r="E27" s="29"/>
      <c r="F27" s="29"/>
      <c r="G27" s="37"/>
      <c r="H27" s="29"/>
      <c r="I27" s="24" t="s">
        <v>33</v>
      </c>
      <c r="J27" s="40" t="s">
        <v>136</v>
      </c>
      <c r="K27" s="24" t="s">
        <v>137</v>
      </c>
      <c r="L27" s="26">
        <f t="shared" si="1"/>
        <v>43102462611</v>
      </c>
      <c r="M27" s="26">
        <f t="shared" si="0"/>
        <v>43102462611</v>
      </c>
      <c r="N27" s="47">
        <v>14890994008</v>
      </c>
      <c r="O27" s="47">
        <v>28211468603</v>
      </c>
      <c r="P27" s="26"/>
      <c r="Q27" s="26"/>
      <c r="R27" s="29" t="s">
        <v>36</v>
      </c>
      <c r="S27" s="29" t="s">
        <v>37</v>
      </c>
      <c r="T27" s="29" t="s">
        <v>98</v>
      </c>
      <c r="U27" s="29" t="s">
        <v>138</v>
      </c>
      <c r="V27" s="29" t="s">
        <v>39</v>
      </c>
      <c r="W27" s="29" t="s">
        <v>40</v>
      </c>
      <c r="X27" s="29" t="s">
        <v>41</v>
      </c>
      <c r="Y27" s="30" t="s">
        <v>42</v>
      </c>
      <c r="Z27" s="31" t="s">
        <v>43</v>
      </c>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row>
    <row r="28" spans="1:57" ht="141" customHeight="1" x14ac:dyDescent="0.25">
      <c r="A28" s="17" t="s">
        <v>28</v>
      </c>
      <c r="B28" s="24" t="s">
        <v>139</v>
      </c>
      <c r="C28" s="19" t="s">
        <v>140</v>
      </c>
      <c r="D28" s="20">
        <v>43889</v>
      </c>
      <c r="E28" s="29" t="s">
        <v>63</v>
      </c>
      <c r="F28" s="35" t="s">
        <v>50</v>
      </c>
      <c r="G28" s="37">
        <v>8</v>
      </c>
      <c r="H28" s="29" t="s">
        <v>32</v>
      </c>
      <c r="I28" s="24" t="s">
        <v>75</v>
      </c>
      <c r="J28" s="40" t="s">
        <v>141</v>
      </c>
      <c r="K28" s="18" t="s">
        <v>142</v>
      </c>
      <c r="L28" s="26">
        <f t="shared" si="1"/>
        <v>2220000000</v>
      </c>
      <c r="M28" s="26">
        <f t="shared" si="0"/>
        <v>2220000000</v>
      </c>
      <c r="N28" s="26">
        <f>450000000+200000000</f>
        <v>650000000</v>
      </c>
      <c r="O28" s="26">
        <f>1210000000+160000000+200000000</f>
        <v>1570000000</v>
      </c>
      <c r="P28" s="26"/>
      <c r="Q28" s="26"/>
      <c r="R28" s="29" t="s">
        <v>36</v>
      </c>
      <c r="S28" s="29" t="s">
        <v>37</v>
      </c>
      <c r="T28" s="29" t="s">
        <v>67</v>
      </c>
      <c r="U28" s="29" t="s">
        <v>134</v>
      </c>
      <c r="V28" s="29" t="s">
        <v>39</v>
      </c>
      <c r="W28" s="29" t="s">
        <v>40</v>
      </c>
      <c r="X28" s="29" t="s">
        <v>41</v>
      </c>
      <c r="Y28" s="30" t="s">
        <v>143</v>
      </c>
      <c r="Z28" s="31" t="s">
        <v>43</v>
      </c>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row>
    <row r="29" spans="1:57" ht="51" customHeight="1" x14ac:dyDescent="0.25">
      <c r="A29" s="17" t="s">
        <v>144</v>
      </c>
      <c r="B29" s="18">
        <v>80111500</v>
      </c>
      <c r="C29" s="60" t="s">
        <v>145</v>
      </c>
      <c r="D29" s="20"/>
      <c r="E29" s="29" t="s">
        <v>146</v>
      </c>
      <c r="F29" s="29" t="s">
        <v>146</v>
      </c>
      <c r="G29" s="37">
        <v>12</v>
      </c>
      <c r="H29" s="29" t="s">
        <v>32</v>
      </c>
      <c r="I29" s="24" t="s">
        <v>33</v>
      </c>
      <c r="J29" s="60" t="s">
        <v>147</v>
      </c>
      <c r="K29" s="18" t="s">
        <v>35</v>
      </c>
      <c r="L29" s="26">
        <f t="shared" si="1"/>
        <v>2334027079</v>
      </c>
      <c r="M29" s="26">
        <f t="shared" si="0"/>
        <v>2334027079</v>
      </c>
      <c r="N29" s="47">
        <f>5848352092-57973271-2740320-4313830381</f>
        <v>1473808120</v>
      </c>
      <c r="O29" s="47">
        <f>4125719100+502428853-3731018994-36910000</f>
        <v>860218959</v>
      </c>
      <c r="P29" s="26"/>
      <c r="Q29" s="26"/>
      <c r="R29" s="29" t="s">
        <v>36</v>
      </c>
      <c r="S29" s="29" t="s">
        <v>37</v>
      </c>
      <c r="T29" s="29" t="s">
        <v>98</v>
      </c>
      <c r="U29" s="29" t="s">
        <v>138</v>
      </c>
      <c r="V29" s="29" t="s">
        <v>39</v>
      </c>
      <c r="W29" s="29" t="s">
        <v>40</v>
      </c>
      <c r="X29" s="29" t="s">
        <v>41</v>
      </c>
      <c r="Y29" s="30" t="s">
        <v>143</v>
      </c>
      <c r="Z29" s="31" t="s">
        <v>43</v>
      </c>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row>
    <row r="30" spans="1:57" ht="85.5" customHeight="1" x14ac:dyDescent="0.25">
      <c r="A30" s="17" t="s">
        <v>148</v>
      </c>
      <c r="B30" s="18" t="s">
        <v>149</v>
      </c>
      <c r="C30" s="19" t="s">
        <v>150</v>
      </c>
      <c r="D30" s="20"/>
      <c r="E30" s="21" t="s">
        <v>146</v>
      </c>
      <c r="F30" s="21" t="s">
        <v>146</v>
      </c>
      <c r="G30" s="37">
        <v>12</v>
      </c>
      <c r="H30" s="42" t="s">
        <v>32</v>
      </c>
      <c r="I30" s="24" t="s">
        <v>46</v>
      </c>
      <c r="J30" s="29" t="s">
        <v>151</v>
      </c>
      <c r="K30" s="24" t="s">
        <v>152</v>
      </c>
      <c r="L30" s="26">
        <f t="shared" si="1"/>
        <v>6172217489</v>
      </c>
      <c r="M30" s="26">
        <f t="shared" si="0"/>
        <v>6172217489</v>
      </c>
      <c r="N30" s="47">
        <f>(697977588+4645071984)-157451069</f>
        <v>5185598503</v>
      </c>
      <c r="O30" s="47">
        <f>829167917+157451069</f>
        <v>986618986</v>
      </c>
      <c r="P30" s="26"/>
      <c r="Q30" s="26"/>
      <c r="R30" s="29" t="s">
        <v>36</v>
      </c>
      <c r="S30" s="29" t="s">
        <v>37</v>
      </c>
      <c r="T30" s="29" t="s">
        <v>48</v>
      </c>
      <c r="U30" s="29" t="s">
        <v>153</v>
      </c>
      <c r="V30" s="29" t="s">
        <v>39</v>
      </c>
      <c r="W30" s="29" t="s">
        <v>40</v>
      </c>
      <c r="X30" s="29" t="s">
        <v>41</v>
      </c>
      <c r="Y30" s="30" t="s">
        <v>110</v>
      </c>
      <c r="Z30" s="31" t="s">
        <v>43</v>
      </c>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row>
    <row r="31" spans="1:57" ht="85.5" customHeight="1" x14ac:dyDescent="0.25">
      <c r="A31" s="17" t="s">
        <v>148</v>
      </c>
      <c r="B31" s="18" t="s">
        <v>149</v>
      </c>
      <c r="C31" s="19" t="s">
        <v>154</v>
      </c>
      <c r="D31" s="20">
        <v>43924</v>
      </c>
      <c r="E31" s="21" t="s">
        <v>155</v>
      </c>
      <c r="F31" s="21" t="s">
        <v>156</v>
      </c>
      <c r="G31" s="37"/>
      <c r="H31" s="42" t="s">
        <v>32</v>
      </c>
      <c r="I31" s="29" t="s">
        <v>75</v>
      </c>
      <c r="J31" s="29" t="s">
        <v>151</v>
      </c>
      <c r="K31" s="24" t="s">
        <v>152</v>
      </c>
      <c r="L31" s="26">
        <f t="shared" si="1"/>
        <v>5897538948.5238094</v>
      </c>
      <c r="M31" s="26">
        <f t="shared" si="0"/>
        <v>293915118.52380955</v>
      </c>
      <c r="N31" s="26">
        <f>(33237028+221193904)</f>
        <v>254430932</v>
      </c>
      <c r="O31" s="26">
        <v>39484186.523809522</v>
      </c>
      <c r="P31" s="26">
        <v>5603623830</v>
      </c>
      <c r="Q31" s="26"/>
      <c r="R31" s="29" t="s">
        <v>36</v>
      </c>
      <c r="S31" s="29" t="s">
        <v>37</v>
      </c>
      <c r="T31" s="29"/>
      <c r="U31" s="29" t="s">
        <v>153</v>
      </c>
      <c r="V31" s="29" t="s">
        <v>39</v>
      </c>
      <c r="W31" s="29" t="s">
        <v>40</v>
      </c>
      <c r="X31" s="29" t="s">
        <v>41</v>
      </c>
      <c r="Y31" s="30" t="s">
        <v>110</v>
      </c>
      <c r="Z31" s="31" t="s">
        <v>43</v>
      </c>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row>
    <row r="32" spans="1:57" ht="57" customHeight="1" x14ac:dyDescent="0.25">
      <c r="A32" s="17" t="s">
        <v>148</v>
      </c>
      <c r="B32" s="18">
        <v>92101501</v>
      </c>
      <c r="C32" s="43" t="s">
        <v>157</v>
      </c>
      <c r="D32" s="20"/>
      <c r="E32" s="21"/>
      <c r="F32" s="21"/>
      <c r="G32" s="37">
        <v>12</v>
      </c>
      <c r="H32" s="42" t="s">
        <v>32</v>
      </c>
      <c r="I32" s="24" t="s">
        <v>46</v>
      </c>
      <c r="J32" s="29" t="s">
        <v>158</v>
      </c>
      <c r="K32" s="24" t="s">
        <v>35</v>
      </c>
      <c r="L32" s="26">
        <f t="shared" si="1"/>
        <v>1462289151</v>
      </c>
      <c r="M32" s="26">
        <f t="shared" si="0"/>
        <v>1462289151</v>
      </c>
      <c r="N32" s="47">
        <v>784531275</v>
      </c>
      <c r="O32" s="47">
        <v>677757876</v>
      </c>
      <c r="P32" s="26"/>
      <c r="Q32" s="26"/>
      <c r="R32" s="29" t="s">
        <v>36</v>
      </c>
      <c r="S32" s="29" t="s">
        <v>37</v>
      </c>
      <c r="T32" s="29" t="s">
        <v>48</v>
      </c>
      <c r="U32" s="29" t="s">
        <v>153</v>
      </c>
      <c r="V32" s="29" t="s">
        <v>39</v>
      </c>
      <c r="W32" s="29" t="s">
        <v>40</v>
      </c>
      <c r="X32" s="29" t="s">
        <v>41</v>
      </c>
      <c r="Y32" s="30" t="s">
        <v>58</v>
      </c>
      <c r="Z32" s="31" t="s">
        <v>43</v>
      </c>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row>
    <row r="33" spans="1:57" ht="42.75" customHeight="1" x14ac:dyDescent="0.25">
      <c r="A33" s="17" t="s">
        <v>148</v>
      </c>
      <c r="B33" s="18">
        <v>92101502</v>
      </c>
      <c r="C33" s="43" t="s">
        <v>159</v>
      </c>
      <c r="D33" s="20">
        <v>43924</v>
      </c>
      <c r="E33" s="21" t="s">
        <v>155</v>
      </c>
      <c r="F33" s="21" t="s">
        <v>156</v>
      </c>
      <c r="G33" s="37"/>
      <c r="H33" s="42" t="s">
        <v>32</v>
      </c>
      <c r="I33" s="43" t="s">
        <v>51</v>
      </c>
      <c r="J33" s="29" t="s">
        <v>158</v>
      </c>
      <c r="K33" s="24" t="s">
        <v>108</v>
      </c>
      <c r="L33" s="26">
        <f t="shared" si="1"/>
        <v>1633358716.1099999</v>
      </c>
      <c r="M33" s="26">
        <f t="shared" si="0"/>
        <v>129767253</v>
      </c>
      <c r="N33" s="26">
        <v>71321025</v>
      </c>
      <c r="O33" s="26">
        <v>58446228</v>
      </c>
      <c r="P33" s="26">
        <v>1503591463.1099999</v>
      </c>
      <c r="Q33" s="26"/>
      <c r="R33" s="29" t="s">
        <v>36</v>
      </c>
      <c r="S33" s="29" t="s">
        <v>37</v>
      </c>
      <c r="T33" s="29"/>
      <c r="U33" s="29" t="s">
        <v>153</v>
      </c>
      <c r="V33" s="29" t="s">
        <v>39</v>
      </c>
      <c r="W33" s="29" t="s">
        <v>40</v>
      </c>
      <c r="X33" s="29" t="s">
        <v>41</v>
      </c>
      <c r="Y33" s="30" t="s">
        <v>160</v>
      </c>
      <c r="Z33" s="31" t="s">
        <v>43</v>
      </c>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row>
    <row r="34" spans="1:57" s="6" customFormat="1" ht="42.75" customHeight="1" x14ac:dyDescent="0.25">
      <c r="A34" s="17" t="s">
        <v>161</v>
      </c>
      <c r="B34" s="18">
        <v>81112006</v>
      </c>
      <c r="C34" s="19" t="s">
        <v>162</v>
      </c>
      <c r="D34" s="20"/>
      <c r="E34" s="21"/>
      <c r="F34" s="21"/>
      <c r="G34" s="37"/>
      <c r="H34" s="23"/>
      <c r="I34" s="24" t="s">
        <v>46</v>
      </c>
      <c r="J34" s="24" t="s">
        <v>163</v>
      </c>
      <c r="K34" s="46" t="s">
        <v>35</v>
      </c>
      <c r="L34" s="26">
        <f t="shared" si="1"/>
        <v>915941385</v>
      </c>
      <c r="M34" s="26">
        <f t="shared" si="0"/>
        <v>915941385</v>
      </c>
      <c r="N34" s="26">
        <f>ROUND((618909239+297032146)*0.65,0)</f>
        <v>595361900</v>
      </c>
      <c r="O34" s="26">
        <f>ROUND((618909239+297032146)*0.35,0)</f>
        <v>320579485</v>
      </c>
      <c r="P34" s="26"/>
      <c r="Q34" s="26"/>
      <c r="R34" s="29" t="s">
        <v>36</v>
      </c>
      <c r="S34" s="29" t="s">
        <v>37</v>
      </c>
      <c r="T34" s="29" t="s">
        <v>48</v>
      </c>
      <c r="U34" s="29" t="s">
        <v>164</v>
      </c>
      <c r="V34" s="29" t="s">
        <v>165</v>
      </c>
      <c r="W34" s="29" t="s">
        <v>40</v>
      </c>
      <c r="X34" s="29" t="s">
        <v>41</v>
      </c>
      <c r="Y34" s="30" t="s">
        <v>166</v>
      </c>
      <c r="Z34" s="41" t="s">
        <v>43</v>
      </c>
    </row>
    <row r="35" spans="1:57" s="6" customFormat="1" ht="57" customHeight="1" x14ac:dyDescent="0.25">
      <c r="A35" s="17" t="s">
        <v>161</v>
      </c>
      <c r="B35" s="18">
        <v>81112006</v>
      </c>
      <c r="C35" s="44" t="s">
        <v>167</v>
      </c>
      <c r="D35" s="39">
        <v>43921</v>
      </c>
      <c r="E35" s="45" t="s">
        <v>64</v>
      </c>
      <c r="F35" s="45" t="s">
        <v>64</v>
      </c>
      <c r="G35" s="37">
        <v>24</v>
      </c>
      <c r="H35" s="23" t="s">
        <v>32</v>
      </c>
      <c r="I35" s="19" t="s">
        <v>168</v>
      </c>
      <c r="J35" s="24" t="s">
        <v>163</v>
      </c>
      <c r="K35" s="46" t="s">
        <v>35</v>
      </c>
      <c r="L35" s="26">
        <f t="shared" si="1"/>
        <v>9005649595</v>
      </c>
      <c r="M35" s="26">
        <f t="shared" si="0"/>
        <v>1830280033</v>
      </c>
      <c r="N35" s="26">
        <f>322818686+866863335</f>
        <v>1189682021</v>
      </c>
      <c r="O35" s="47">
        <f>173825446+466772566</f>
        <v>640598012</v>
      </c>
      <c r="P35" s="47">
        <v>4604515227</v>
      </c>
      <c r="Q35" s="47">
        <v>2570854335</v>
      </c>
      <c r="R35" s="29" t="s">
        <v>36</v>
      </c>
      <c r="S35" s="29" t="s">
        <v>37</v>
      </c>
      <c r="T35" s="29"/>
      <c r="U35" s="29" t="s">
        <v>164</v>
      </c>
      <c r="V35" s="29" t="s">
        <v>165</v>
      </c>
      <c r="W35" s="29" t="s">
        <v>40</v>
      </c>
      <c r="X35" s="29" t="s">
        <v>41</v>
      </c>
      <c r="Y35" s="30" t="s">
        <v>166</v>
      </c>
      <c r="Z35" s="41" t="s">
        <v>43</v>
      </c>
    </row>
    <row r="36" spans="1:57" s="6" customFormat="1" ht="42.75" customHeight="1" x14ac:dyDescent="0.25">
      <c r="A36" s="17" t="s">
        <v>161</v>
      </c>
      <c r="B36" s="18">
        <v>81112006</v>
      </c>
      <c r="C36" s="19" t="s">
        <v>169</v>
      </c>
      <c r="D36" s="20"/>
      <c r="E36" s="21"/>
      <c r="F36" s="21"/>
      <c r="G36" s="37"/>
      <c r="H36" s="23"/>
      <c r="I36" s="24" t="s">
        <v>46</v>
      </c>
      <c r="J36" s="24" t="s">
        <v>163</v>
      </c>
      <c r="K36" s="46" t="s">
        <v>35</v>
      </c>
      <c r="L36" s="26">
        <f t="shared" si="1"/>
        <v>487894288</v>
      </c>
      <c r="M36" s="26">
        <f t="shared" si="0"/>
        <v>487894288</v>
      </c>
      <c r="N36" s="26">
        <f>+ROUND((487894288)*0.65,0)</f>
        <v>317131287</v>
      </c>
      <c r="O36" s="26">
        <f>+ROUND((487894288)*0.35,0)</f>
        <v>170763001</v>
      </c>
      <c r="P36" s="26"/>
      <c r="Q36" s="26"/>
      <c r="R36" s="29" t="s">
        <v>36</v>
      </c>
      <c r="S36" s="29" t="s">
        <v>37</v>
      </c>
      <c r="T36" s="29" t="s">
        <v>48</v>
      </c>
      <c r="U36" s="29" t="s">
        <v>164</v>
      </c>
      <c r="V36" s="29" t="s">
        <v>165</v>
      </c>
      <c r="W36" s="29" t="s">
        <v>40</v>
      </c>
      <c r="X36" s="29" t="s">
        <v>41</v>
      </c>
      <c r="Y36" s="30" t="s">
        <v>166</v>
      </c>
      <c r="Z36" s="41" t="s">
        <v>43</v>
      </c>
    </row>
    <row r="37" spans="1:57" s="6" customFormat="1" ht="42.75" customHeight="1" x14ac:dyDescent="0.25">
      <c r="A37" s="17" t="s">
        <v>161</v>
      </c>
      <c r="B37" s="18">
        <v>81112006</v>
      </c>
      <c r="C37" s="19" t="s">
        <v>170</v>
      </c>
      <c r="D37" s="20">
        <v>44043</v>
      </c>
      <c r="E37" s="21"/>
      <c r="F37" s="21"/>
      <c r="G37" s="37"/>
      <c r="H37" s="23"/>
      <c r="I37" s="24" t="s">
        <v>124</v>
      </c>
      <c r="J37" s="24" t="s">
        <v>163</v>
      </c>
      <c r="K37" s="46" t="s">
        <v>35</v>
      </c>
      <c r="L37" s="26">
        <f>+M37+P37+Q37</f>
        <v>267400000</v>
      </c>
      <c r="M37" s="26">
        <f t="shared" si="0"/>
        <v>267400000</v>
      </c>
      <c r="N37" s="26">
        <f>164707896+9102104</f>
        <v>173810000</v>
      </c>
      <c r="O37" s="26">
        <f>88688864+4901136</f>
        <v>93590000</v>
      </c>
      <c r="P37" s="26"/>
      <c r="Q37" s="26"/>
      <c r="R37" s="29" t="s">
        <v>36</v>
      </c>
      <c r="S37" s="29" t="s">
        <v>37</v>
      </c>
      <c r="T37" s="29"/>
      <c r="U37" s="29" t="s">
        <v>164</v>
      </c>
      <c r="V37" s="29" t="s">
        <v>165</v>
      </c>
      <c r="W37" s="29" t="s">
        <v>40</v>
      </c>
      <c r="X37" s="29" t="s">
        <v>41</v>
      </c>
      <c r="Y37" s="30" t="s">
        <v>166</v>
      </c>
      <c r="Z37" s="41" t="s">
        <v>43</v>
      </c>
    </row>
    <row r="38" spans="1:57" s="6" customFormat="1" ht="60" customHeight="1" x14ac:dyDescent="0.25">
      <c r="A38" s="17" t="s">
        <v>161</v>
      </c>
      <c r="B38" s="18">
        <v>81112006</v>
      </c>
      <c r="C38" s="48" t="s">
        <v>171</v>
      </c>
      <c r="D38" s="20">
        <v>44071</v>
      </c>
      <c r="E38" s="21" t="s">
        <v>156</v>
      </c>
      <c r="F38" s="21" t="s">
        <v>156</v>
      </c>
      <c r="G38" s="37">
        <v>20</v>
      </c>
      <c r="H38" s="23" t="s">
        <v>32</v>
      </c>
      <c r="I38" s="49" t="s">
        <v>168</v>
      </c>
      <c r="J38" s="24" t="s">
        <v>163</v>
      </c>
      <c r="K38" s="46" t="s">
        <v>35</v>
      </c>
      <c r="L38" s="26">
        <f t="shared" si="1"/>
        <v>1333634610</v>
      </c>
      <c r="M38" s="26">
        <f t="shared" si="0"/>
        <v>130000000</v>
      </c>
      <c r="N38" s="26">
        <v>84500000</v>
      </c>
      <c r="O38" s="26">
        <v>45500000</v>
      </c>
      <c r="P38" s="26">
        <v>760190280</v>
      </c>
      <c r="Q38" s="26">
        <v>443444330</v>
      </c>
      <c r="R38" s="29" t="s">
        <v>172</v>
      </c>
      <c r="S38" s="29" t="s">
        <v>173</v>
      </c>
      <c r="T38" s="29"/>
      <c r="U38" s="29" t="s">
        <v>164</v>
      </c>
      <c r="V38" s="29" t="s">
        <v>165</v>
      </c>
      <c r="W38" s="29" t="s">
        <v>40</v>
      </c>
      <c r="X38" s="29" t="s">
        <v>41</v>
      </c>
      <c r="Y38" s="30" t="s">
        <v>166</v>
      </c>
      <c r="Z38" s="41" t="s">
        <v>43</v>
      </c>
    </row>
    <row r="39" spans="1:57" s="6" customFormat="1" ht="57" customHeight="1" x14ac:dyDescent="0.25">
      <c r="A39" s="17" t="s">
        <v>161</v>
      </c>
      <c r="B39" s="50">
        <v>43211500</v>
      </c>
      <c r="C39" s="43" t="s">
        <v>174</v>
      </c>
      <c r="D39" s="20">
        <v>43875</v>
      </c>
      <c r="E39" s="29" t="s">
        <v>63</v>
      </c>
      <c r="F39" s="35" t="s">
        <v>64</v>
      </c>
      <c r="G39" s="37">
        <v>45</v>
      </c>
      <c r="H39" s="23" t="s">
        <v>175</v>
      </c>
      <c r="I39" s="19" t="s">
        <v>168</v>
      </c>
      <c r="J39" s="24" t="s">
        <v>176</v>
      </c>
      <c r="K39" s="24" t="s">
        <v>35</v>
      </c>
      <c r="L39" s="26">
        <f>+M39+P39+Q39</f>
        <v>350000000</v>
      </c>
      <c r="M39" s="26">
        <f t="shared" si="0"/>
        <v>350000000</v>
      </c>
      <c r="N39" s="46">
        <v>227500000</v>
      </c>
      <c r="O39" s="26">
        <v>122500000</v>
      </c>
      <c r="P39" s="54"/>
      <c r="Q39" s="54"/>
      <c r="R39" s="29" t="s">
        <v>36</v>
      </c>
      <c r="S39" s="29" t="s">
        <v>37</v>
      </c>
      <c r="T39" s="29" t="s">
        <v>67</v>
      </c>
      <c r="U39" s="29" t="s">
        <v>177</v>
      </c>
      <c r="V39" s="29" t="s">
        <v>165</v>
      </c>
      <c r="W39" s="29" t="s">
        <v>40</v>
      </c>
      <c r="X39" s="29" t="s">
        <v>41</v>
      </c>
      <c r="Y39" s="30" t="s">
        <v>166</v>
      </c>
      <c r="Z39" s="41" t="s">
        <v>43</v>
      </c>
    </row>
    <row r="40" spans="1:57" s="6" customFormat="1" ht="57" customHeight="1" x14ac:dyDescent="0.25">
      <c r="A40" s="17" t="s">
        <v>161</v>
      </c>
      <c r="B40" s="50">
        <v>43211500</v>
      </c>
      <c r="C40" s="43" t="s">
        <v>178</v>
      </c>
      <c r="D40" s="20">
        <v>43875</v>
      </c>
      <c r="E40" s="29" t="s">
        <v>63</v>
      </c>
      <c r="F40" s="35" t="s">
        <v>64</v>
      </c>
      <c r="G40" s="37">
        <v>45</v>
      </c>
      <c r="H40" s="23" t="s">
        <v>175</v>
      </c>
      <c r="I40" s="19" t="s">
        <v>168</v>
      </c>
      <c r="J40" s="24" t="s">
        <v>176</v>
      </c>
      <c r="K40" s="24" t="s">
        <v>35</v>
      </c>
      <c r="L40" s="26">
        <f t="shared" si="1"/>
        <v>46000000</v>
      </c>
      <c r="M40" s="26">
        <f t="shared" si="0"/>
        <v>46000000</v>
      </c>
      <c r="N40" s="46">
        <v>29900000</v>
      </c>
      <c r="O40" s="26">
        <v>16100000</v>
      </c>
      <c r="P40" s="38"/>
      <c r="Q40" s="54"/>
      <c r="R40" s="29" t="s">
        <v>36</v>
      </c>
      <c r="S40" s="29" t="s">
        <v>37</v>
      </c>
      <c r="T40" s="29" t="s">
        <v>67</v>
      </c>
      <c r="U40" s="29" t="s">
        <v>177</v>
      </c>
      <c r="V40" s="29" t="s">
        <v>165</v>
      </c>
      <c r="W40" s="29" t="s">
        <v>40</v>
      </c>
      <c r="X40" s="29" t="s">
        <v>41</v>
      </c>
      <c r="Y40" s="30" t="s">
        <v>166</v>
      </c>
      <c r="Z40" s="41" t="s">
        <v>43</v>
      </c>
    </row>
    <row r="41" spans="1:57" s="6" customFormat="1" ht="57" customHeight="1" x14ac:dyDescent="0.25">
      <c r="A41" s="17" t="s">
        <v>161</v>
      </c>
      <c r="B41" s="50">
        <v>43211500</v>
      </c>
      <c r="C41" s="43" t="s">
        <v>179</v>
      </c>
      <c r="D41" s="20">
        <v>43875</v>
      </c>
      <c r="E41" s="29" t="s">
        <v>63</v>
      </c>
      <c r="F41" s="35" t="s">
        <v>64</v>
      </c>
      <c r="G41" s="37">
        <v>45</v>
      </c>
      <c r="H41" s="23" t="s">
        <v>175</v>
      </c>
      <c r="I41" s="19" t="s">
        <v>168</v>
      </c>
      <c r="J41" s="24" t="s">
        <v>176</v>
      </c>
      <c r="K41" s="24" t="s">
        <v>35</v>
      </c>
      <c r="L41" s="26">
        <f t="shared" si="1"/>
        <v>191000000</v>
      </c>
      <c r="M41" s="26">
        <f t="shared" si="0"/>
        <v>191000000</v>
      </c>
      <c r="N41" s="46">
        <v>124150000</v>
      </c>
      <c r="O41" s="26">
        <v>66850000</v>
      </c>
      <c r="P41" s="38"/>
      <c r="Q41" s="54"/>
      <c r="R41" s="29" t="s">
        <v>36</v>
      </c>
      <c r="S41" s="29" t="s">
        <v>37</v>
      </c>
      <c r="T41" s="29" t="s">
        <v>67</v>
      </c>
      <c r="U41" s="29" t="s">
        <v>177</v>
      </c>
      <c r="V41" s="29" t="s">
        <v>165</v>
      </c>
      <c r="W41" s="29" t="s">
        <v>40</v>
      </c>
      <c r="X41" s="29" t="s">
        <v>41</v>
      </c>
      <c r="Y41" s="30" t="s">
        <v>166</v>
      </c>
      <c r="Z41" s="41" t="s">
        <v>43</v>
      </c>
    </row>
    <row r="42" spans="1:57" s="6" customFormat="1" ht="57" customHeight="1" x14ac:dyDescent="0.25">
      <c r="A42" s="17" t="s">
        <v>161</v>
      </c>
      <c r="B42" s="50">
        <v>43211711</v>
      </c>
      <c r="C42" s="43" t="s">
        <v>180</v>
      </c>
      <c r="D42" s="39">
        <v>43889</v>
      </c>
      <c r="E42" s="56" t="s">
        <v>63</v>
      </c>
      <c r="F42" s="57" t="s">
        <v>64</v>
      </c>
      <c r="G42" s="53">
        <v>45</v>
      </c>
      <c r="H42" s="23" t="s">
        <v>175</v>
      </c>
      <c r="I42" s="19" t="s">
        <v>168</v>
      </c>
      <c r="J42" s="24" t="s">
        <v>176</v>
      </c>
      <c r="K42" s="24" t="s">
        <v>35</v>
      </c>
      <c r="L42" s="26">
        <f t="shared" si="1"/>
        <v>34000000</v>
      </c>
      <c r="M42" s="26">
        <f t="shared" si="0"/>
        <v>34000000</v>
      </c>
      <c r="N42" s="58">
        <v>22100000</v>
      </c>
      <c r="O42" s="26">
        <v>11900000</v>
      </c>
      <c r="P42" s="54"/>
      <c r="Q42" s="54"/>
      <c r="R42" s="29" t="s">
        <v>36</v>
      </c>
      <c r="S42" s="29" t="s">
        <v>37</v>
      </c>
      <c r="T42" s="29" t="s">
        <v>67</v>
      </c>
      <c r="U42" s="29" t="s">
        <v>177</v>
      </c>
      <c r="V42" s="29" t="s">
        <v>165</v>
      </c>
      <c r="W42" s="29" t="s">
        <v>40</v>
      </c>
      <c r="X42" s="29" t="s">
        <v>41</v>
      </c>
      <c r="Y42" s="30" t="s">
        <v>166</v>
      </c>
      <c r="Z42" s="41" t="s">
        <v>43</v>
      </c>
    </row>
    <row r="43" spans="1:57" s="6" customFormat="1" ht="57" customHeight="1" x14ac:dyDescent="0.25">
      <c r="A43" s="17" t="s">
        <v>161</v>
      </c>
      <c r="B43" s="50">
        <v>43212105</v>
      </c>
      <c r="C43" s="43" t="s">
        <v>181</v>
      </c>
      <c r="D43" s="39">
        <v>43889</v>
      </c>
      <c r="E43" s="56" t="s">
        <v>63</v>
      </c>
      <c r="F43" s="57" t="s">
        <v>64</v>
      </c>
      <c r="G43" s="53">
        <v>45</v>
      </c>
      <c r="H43" s="23" t="s">
        <v>175</v>
      </c>
      <c r="I43" s="19" t="s">
        <v>168</v>
      </c>
      <c r="J43" s="24" t="s">
        <v>176</v>
      </c>
      <c r="K43" s="24" t="s">
        <v>35</v>
      </c>
      <c r="L43" s="26">
        <f t="shared" si="1"/>
        <v>695000000</v>
      </c>
      <c r="M43" s="26">
        <f t="shared" si="0"/>
        <v>695000000</v>
      </c>
      <c r="N43" s="58">
        <v>451750000</v>
      </c>
      <c r="O43" s="26">
        <v>243250000</v>
      </c>
      <c r="P43" s="54"/>
      <c r="Q43" s="54"/>
      <c r="R43" s="29" t="s">
        <v>36</v>
      </c>
      <c r="S43" s="29" t="s">
        <v>37</v>
      </c>
      <c r="T43" s="29" t="s">
        <v>67</v>
      </c>
      <c r="U43" s="29" t="s">
        <v>177</v>
      </c>
      <c r="V43" s="29" t="s">
        <v>165</v>
      </c>
      <c r="W43" s="29" t="s">
        <v>40</v>
      </c>
      <c r="X43" s="29" t="s">
        <v>41</v>
      </c>
      <c r="Y43" s="30" t="s">
        <v>166</v>
      </c>
      <c r="Z43" s="41" t="s">
        <v>43</v>
      </c>
    </row>
    <row r="44" spans="1:57" s="6" customFormat="1" ht="42.75" customHeight="1" x14ac:dyDescent="0.25">
      <c r="A44" s="17" t="s">
        <v>161</v>
      </c>
      <c r="B44" s="50">
        <v>81112006</v>
      </c>
      <c r="C44" s="19" t="s">
        <v>182</v>
      </c>
      <c r="D44" s="20">
        <v>44012</v>
      </c>
      <c r="E44" s="51" t="s">
        <v>183</v>
      </c>
      <c r="F44" s="52" t="s">
        <v>155</v>
      </c>
      <c r="G44" s="53">
        <v>140</v>
      </c>
      <c r="H44" s="23" t="s">
        <v>27</v>
      </c>
      <c r="I44" s="19" t="s">
        <v>75</v>
      </c>
      <c r="J44" s="24" t="s">
        <v>184</v>
      </c>
      <c r="K44" s="24" t="s">
        <v>35</v>
      </c>
      <c r="L44" s="26">
        <f t="shared" si="1"/>
        <v>377878572</v>
      </c>
      <c r="M44" s="26">
        <f t="shared" si="0"/>
        <v>377878572</v>
      </c>
      <c r="N44" s="26">
        <v>377878572</v>
      </c>
      <c r="O44" s="26"/>
      <c r="P44" s="54"/>
      <c r="Q44" s="54"/>
      <c r="R44" s="55" t="s">
        <v>36</v>
      </c>
      <c r="S44" s="29" t="s">
        <v>37</v>
      </c>
      <c r="T44" s="29"/>
      <c r="U44" s="29" t="s">
        <v>185</v>
      </c>
      <c r="V44" s="29" t="s">
        <v>165</v>
      </c>
      <c r="W44" s="29" t="s">
        <v>40</v>
      </c>
      <c r="X44" s="29" t="s">
        <v>41</v>
      </c>
      <c r="Y44" s="30" t="s">
        <v>166</v>
      </c>
      <c r="Z44" s="41" t="s">
        <v>43</v>
      </c>
    </row>
    <row r="45" spans="1:57" s="6" customFormat="1" ht="57" customHeight="1" x14ac:dyDescent="0.25">
      <c r="A45" s="17" t="s">
        <v>161</v>
      </c>
      <c r="B45" s="50">
        <v>45121504</v>
      </c>
      <c r="C45" s="43" t="s">
        <v>186</v>
      </c>
      <c r="D45" s="39">
        <v>43951</v>
      </c>
      <c r="E45" s="56" t="s">
        <v>63</v>
      </c>
      <c r="F45" s="57" t="s">
        <v>64</v>
      </c>
      <c r="G45" s="53">
        <v>45</v>
      </c>
      <c r="H45" s="23" t="s">
        <v>175</v>
      </c>
      <c r="I45" s="19" t="s">
        <v>187</v>
      </c>
      <c r="J45" s="24" t="s">
        <v>176</v>
      </c>
      <c r="K45" s="24" t="s">
        <v>35</v>
      </c>
      <c r="L45" s="26">
        <f t="shared" si="1"/>
        <v>198000000</v>
      </c>
      <c r="M45" s="26">
        <f t="shared" si="0"/>
        <v>198000000</v>
      </c>
      <c r="N45" s="58">
        <v>128700000</v>
      </c>
      <c r="O45" s="26">
        <v>69300000</v>
      </c>
      <c r="P45" s="54"/>
      <c r="Q45" s="54"/>
      <c r="R45" s="29" t="s">
        <v>36</v>
      </c>
      <c r="S45" s="29" t="s">
        <v>37</v>
      </c>
      <c r="T45" s="29"/>
      <c r="U45" s="29" t="s">
        <v>188</v>
      </c>
      <c r="V45" s="29" t="s">
        <v>165</v>
      </c>
      <c r="W45" s="29" t="s">
        <v>40</v>
      </c>
      <c r="X45" s="29" t="s">
        <v>41</v>
      </c>
      <c r="Y45" s="30" t="s">
        <v>166</v>
      </c>
      <c r="Z45" s="41" t="s">
        <v>43</v>
      </c>
    </row>
    <row r="46" spans="1:57" s="6" customFormat="1" ht="57" customHeight="1" x14ac:dyDescent="0.25">
      <c r="A46" s="17" t="s">
        <v>161</v>
      </c>
      <c r="B46" s="18">
        <v>43211902</v>
      </c>
      <c r="C46" s="59" t="s">
        <v>189</v>
      </c>
      <c r="D46" s="20">
        <v>44012</v>
      </c>
      <c r="E46" s="51" t="s">
        <v>183</v>
      </c>
      <c r="F46" s="52" t="s">
        <v>155</v>
      </c>
      <c r="G46" s="53">
        <v>60</v>
      </c>
      <c r="H46" s="23" t="s">
        <v>175</v>
      </c>
      <c r="I46" s="61" t="s">
        <v>187</v>
      </c>
      <c r="J46" s="24" t="s">
        <v>176</v>
      </c>
      <c r="K46" s="24" t="s">
        <v>35</v>
      </c>
      <c r="L46" s="26">
        <f t="shared" si="1"/>
        <v>299730000</v>
      </c>
      <c r="M46" s="26">
        <f t="shared" si="0"/>
        <v>299730000</v>
      </c>
      <c r="N46" s="58">
        <v>194824500</v>
      </c>
      <c r="O46" s="26">
        <v>104905500</v>
      </c>
      <c r="P46" s="54"/>
      <c r="Q46" s="54"/>
      <c r="R46" s="29" t="s">
        <v>36</v>
      </c>
      <c r="S46" s="29" t="s">
        <v>37</v>
      </c>
      <c r="T46" s="29"/>
      <c r="U46" s="29" t="s">
        <v>185</v>
      </c>
      <c r="V46" s="29" t="s">
        <v>165</v>
      </c>
      <c r="W46" s="29" t="s">
        <v>40</v>
      </c>
      <c r="X46" s="29" t="s">
        <v>41</v>
      </c>
      <c r="Y46" s="30" t="s">
        <v>166</v>
      </c>
      <c r="Z46" s="41" t="s">
        <v>43</v>
      </c>
    </row>
    <row r="47" spans="1:57" s="62" customFormat="1" ht="57" customHeight="1" x14ac:dyDescent="0.25">
      <c r="A47" s="17" t="s">
        <v>161</v>
      </c>
      <c r="B47" s="18">
        <v>43223306</v>
      </c>
      <c r="C47" s="43" t="s">
        <v>190</v>
      </c>
      <c r="D47" s="39">
        <v>44012</v>
      </c>
      <c r="E47" s="56" t="s">
        <v>183</v>
      </c>
      <c r="F47" s="57" t="s">
        <v>155</v>
      </c>
      <c r="G47" s="113">
        <v>4</v>
      </c>
      <c r="H47" s="114" t="s">
        <v>32</v>
      </c>
      <c r="I47" s="19" t="s">
        <v>191</v>
      </c>
      <c r="J47" s="24" t="s">
        <v>176</v>
      </c>
      <c r="K47" s="24" t="s">
        <v>35</v>
      </c>
      <c r="L47" s="26">
        <f t="shared" si="1"/>
        <v>2420279669</v>
      </c>
      <c r="M47" s="26">
        <f t="shared" si="0"/>
        <v>2420279669</v>
      </c>
      <c r="N47" s="46">
        <f>2824527826-866863335+87838947</f>
        <v>2045503438</v>
      </c>
      <c r="O47" s="26">
        <f>791943208-466772566+49605589</f>
        <v>374776231</v>
      </c>
      <c r="P47" s="26"/>
      <c r="Q47" s="26"/>
      <c r="R47" s="29" t="s">
        <v>36</v>
      </c>
      <c r="S47" s="29" t="s">
        <v>37</v>
      </c>
      <c r="T47" s="29" t="s">
        <v>67</v>
      </c>
      <c r="U47" s="29" t="s">
        <v>192</v>
      </c>
      <c r="V47" s="29" t="s">
        <v>165</v>
      </c>
      <c r="W47" s="29" t="s">
        <v>40</v>
      </c>
      <c r="X47" s="29" t="s">
        <v>41</v>
      </c>
      <c r="Y47" s="30" t="s">
        <v>166</v>
      </c>
      <c r="Z47" s="41" t="s">
        <v>43</v>
      </c>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row>
    <row r="48" spans="1:57" s="6" customFormat="1" ht="57" customHeight="1" x14ac:dyDescent="0.25">
      <c r="A48" s="17" t="s">
        <v>161</v>
      </c>
      <c r="B48" s="18">
        <v>81112501</v>
      </c>
      <c r="C48" s="60" t="s">
        <v>193</v>
      </c>
      <c r="D48" s="39">
        <v>43921</v>
      </c>
      <c r="E48" s="35" t="s">
        <v>64</v>
      </c>
      <c r="F48" s="63" t="s">
        <v>50</v>
      </c>
      <c r="G48" s="18">
        <v>12</v>
      </c>
      <c r="H48" s="23" t="s">
        <v>32</v>
      </c>
      <c r="I48" s="19" t="s">
        <v>168</v>
      </c>
      <c r="J48" s="24" t="s">
        <v>194</v>
      </c>
      <c r="K48" s="24" t="s">
        <v>35</v>
      </c>
      <c r="L48" s="26">
        <f t="shared" si="1"/>
        <v>964997181</v>
      </c>
      <c r="M48" s="26">
        <f t="shared" si="0"/>
        <v>964997181</v>
      </c>
      <c r="N48" s="26">
        <v>627248168</v>
      </c>
      <c r="O48" s="26">
        <v>337749013</v>
      </c>
      <c r="P48" s="26"/>
      <c r="Q48" s="26"/>
      <c r="R48" s="29" t="s">
        <v>36</v>
      </c>
      <c r="S48" s="29" t="s">
        <v>37</v>
      </c>
      <c r="T48" s="29"/>
      <c r="U48" s="29" t="s">
        <v>195</v>
      </c>
      <c r="V48" s="29" t="s">
        <v>165</v>
      </c>
      <c r="W48" s="29" t="s">
        <v>40</v>
      </c>
      <c r="X48" s="29" t="s">
        <v>41</v>
      </c>
      <c r="Y48" s="30" t="s">
        <v>166</v>
      </c>
      <c r="Z48" s="41" t="s">
        <v>43</v>
      </c>
    </row>
    <row r="49" spans="1:26" s="6" customFormat="1" ht="57" customHeight="1" x14ac:dyDescent="0.25">
      <c r="A49" s="17" t="s">
        <v>161</v>
      </c>
      <c r="B49" s="18">
        <v>81112501</v>
      </c>
      <c r="C49" s="60" t="s">
        <v>196</v>
      </c>
      <c r="D49" s="20">
        <v>43980</v>
      </c>
      <c r="E49" s="63" t="s">
        <v>31</v>
      </c>
      <c r="F49" s="63" t="s">
        <v>183</v>
      </c>
      <c r="G49" s="18">
        <v>12</v>
      </c>
      <c r="H49" s="23" t="s">
        <v>32</v>
      </c>
      <c r="I49" s="19" t="s">
        <v>187</v>
      </c>
      <c r="J49" s="24" t="s">
        <v>194</v>
      </c>
      <c r="K49" s="24" t="s">
        <v>35</v>
      </c>
      <c r="L49" s="26">
        <f t="shared" si="1"/>
        <v>246128127</v>
      </c>
      <c r="M49" s="26">
        <f t="shared" si="0"/>
        <v>246128127</v>
      </c>
      <c r="N49" s="64">
        <v>159233283</v>
      </c>
      <c r="O49" s="58">
        <v>86894844</v>
      </c>
      <c r="P49" s="26"/>
      <c r="Q49" s="26"/>
      <c r="R49" s="29" t="s">
        <v>36</v>
      </c>
      <c r="S49" s="29" t="s">
        <v>37</v>
      </c>
      <c r="T49" s="29"/>
      <c r="U49" s="29" t="s">
        <v>195</v>
      </c>
      <c r="V49" s="29" t="s">
        <v>165</v>
      </c>
      <c r="W49" s="29" t="s">
        <v>40</v>
      </c>
      <c r="X49" s="29" t="s">
        <v>41</v>
      </c>
      <c r="Y49" s="30" t="s">
        <v>166</v>
      </c>
      <c r="Z49" s="41" t="s">
        <v>43</v>
      </c>
    </row>
    <row r="50" spans="1:26" s="6" customFormat="1" ht="57" customHeight="1" x14ac:dyDescent="0.25">
      <c r="A50" s="17" t="s">
        <v>161</v>
      </c>
      <c r="B50" s="18">
        <v>81112501</v>
      </c>
      <c r="C50" s="60" t="s">
        <v>197</v>
      </c>
      <c r="D50" s="20">
        <v>44048</v>
      </c>
      <c r="E50" s="51" t="s">
        <v>156</v>
      </c>
      <c r="F50" s="35" t="s">
        <v>198</v>
      </c>
      <c r="G50" s="18">
        <v>12</v>
      </c>
      <c r="H50" s="23" t="s">
        <v>32</v>
      </c>
      <c r="I50" s="19" t="s">
        <v>187</v>
      </c>
      <c r="J50" s="24" t="s">
        <v>194</v>
      </c>
      <c r="K50" s="24" t="s">
        <v>35</v>
      </c>
      <c r="L50" s="26">
        <f t="shared" si="1"/>
        <v>247501759</v>
      </c>
      <c r="M50" s="26">
        <f t="shared" si="0"/>
        <v>247501759</v>
      </c>
      <c r="N50" s="26">
        <v>160126143</v>
      </c>
      <c r="O50" s="46">
        <v>87375616</v>
      </c>
      <c r="P50" s="26"/>
      <c r="Q50" s="26"/>
      <c r="R50" s="29" t="s">
        <v>36</v>
      </c>
      <c r="S50" s="29" t="s">
        <v>37</v>
      </c>
      <c r="T50" s="29"/>
      <c r="U50" s="29" t="s">
        <v>195</v>
      </c>
      <c r="V50" s="29" t="s">
        <v>165</v>
      </c>
      <c r="W50" s="29" t="s">
        <v>40</v>
      </c>
      <c r="X50" s="29" t="s">
        <v>41</v>
      </c>
      <c r="Y50" s="30" t="s">
        <v>166</v>
      </c>
      <c r="Z50" s="41" t="s">
        <v>43</v>
      </c>
    </row>
    <row r="51" spans="1:26" s="6" customFormat="1" ht="57" customHeight="1" x14ac:dyDescent="0.25">
      <c r="A51" s="17" t="s">
        <v>161</v>
      </c>
      <c r="B51" s="18">
        <v>81112501</v>
      </c>
      <c r="C51" s="60" t="s">
        <v>199</v>
      </c>
      <c r="D51" s="20">
        <v>44048</v>
      </c>
      <c r="E51" s="51" t="s">
        <v>156</v>
      </c>
      <c r="F51" s="35" t="s">
        <v>198</v>
      </c>
      <c r="G51" s="18">
        <v>12</v>
      </c>
      <c r="H51" s="23" t="s">
        <v>32</v>
      </c>
      <c r="I51" s="19" t="s">
        <v>200</v>
      </c>
      <c r="J51" s="24" t="s">
        <v>194</v>
      </c>
      <c r="K51" s="24" t="s">
        <v>35</v>
      </c>
      <c r="L51" s="26">
        <f t="shared" si="1"/>
        <v>79021759</v>
      </c>
      <c r="M51" s="26">
        <f t="shared" si="0"/>
        <v>79021759</v>
      </c>
      <c r="N51" s="26">
        <v>50614143</v>
      </c>
      <c r="O51" s="46">
        <v>28407616</v>
      </c>
      <c r="P51" s="26"/>
      <c r="Q51" s="26"/>
      <c r="R51" s="29" t="s">
        <v>36</v>
      </c>
      <c r="S51" s="29" t="s">
        <v>37</v>
      </c>
      <c r="T51" s="29"/>
      <c r="U51" s="29" t="s">
        <v>195</v>
      </c>
      <c r="V51" s="29" t="s">
        <v>165</v>
      </c>
      <c r="W51" s="29" t="s">
        <v>40</v>
      </c>
      <c r="X51" s="29" t="s">
        <v>41</v>
      </c>
      <c r="Y51" s="30" t="s">
        <v>166</v>
      </c>
      <c r="Z51" s="41" t="s">
        <v>43</v>
      </c>
    </row>
    <row r="52" spans="1:26" s="6" customFormat="1" ht="57" customHeight="1" x14ac:dyDescent="0.25">
      <c r="A52" s="17" t="s">
        <v>161</v>
      </c>
      <c r="B52" s="18">
        <v>81112501</v>
      </c>
      <c r="C52" s="60" t="s">
        <v>201</v>
      </c>
      <c r="D52" s="20">
        <v>43987</v>
      </c>
      <c r="E52" s="51" t="s">
        <v>183</v>
      </c>
      <c r="F52" s="52" t="s">
        <v>155</v>
      </c>
      <c r="G52" s="18">
        <v>12</v>
      </c>
      <c r="H52" s="23" t="s">
        <v>32</v>
      </c>
      <c r="I52" s="19" t="s">
        <v>168</v>
      </c>
      <c r="J52" s="24" t="s">
        <v>194</v>
      </c>
      <c r="K52" s="24" t="s">
        <v>35</v>
      </c>
      <c r="L52" s="26">
        <f t="shared" si="1"/>
        <v>115697884</v>
      </c>
      <c r="M52" s="26">
        <f t="shared" si="0"/>
        <v>115697884</v>
      </c>
      <c r="N52" s="26">
        <f>65000000+10203626</f>
        <v>75203626</v>
      </c>
      <c r="O52" s="46">
        <f>35000000+5494258</f>
        <v>40494258</v>
      </c>
      <c r="P52" s="26"/>
      <c r="Q52" s="26"/>
      <c r="R52" s="29" t="s">
        <v>36</v>
      </c>
      <c r="S52" s="29" t="s">
        <v>37</v>
      </c>
      <c r="T52" s="29"/>
      <c r="U52" s="29" t="s">
        <v>185</v>
      </c>
      <c r="V52" s="29" t="s">
        <v>165</v>
      </c>
      <c r="W52" s="29" t="s">
        <v>40</v>
      </c>
      <c r="X52" s="29" t="s">
        <v>41</v>
      </c>
      <c r="Y52" s="30" t="s">
        <v>166</v>
      </c>
      <c r="Z52" s="41" t="s">
        <v>43</v>
      </c>
    </row>
    <row r="53" spans="1:26" s="6" customFormat="1" ht="57" customHeight="1" x14ac:dyDescent="0.25">
      <c r="A53" s="17" t="s">
        <v>161</v>
      </c>
      <c r="B53" s="18">
        <v>81112501</v>
      </c>
      <c r="C53" s="59" t="s">
        <v>202</v>
      </c>
      <c r="D53" s="39">
        <v>43830</v>
      </c>
      <c r="E53" s="63" t="s">
        <v>146</v>
      </c>
      <c r="F53" s="63" t="s">
        <v>73</v>
      </c>
      <c r="G53" s="18">
        <v>12</v>
      </c>
      <c r="H53" s="23" t="s">
        <v>32</v>
      </c>
      <c r="I53" s="19" t="s">
        <v>33</v>
      </c>
      <c r="J53" s="24" t="s">
        <v>194</v>
      </c>
      <c r="K53" s="24" t="s">
        <v>35</v>
      </c>
      <c r="L53" s="26">
        <f t="shared" si="1"/>
        <v>46600000</v>
      </c>
      <c r="M53" s="26">
        <f t="shared" si="0"/>
        <v>46600000</v>
      </c>
      <c r="N53" s="115">
        <v>30290000</v>
      </c>
      <c r="O53" s="67">
        <v>16310000</v>
      </c>
      <c r="P53" s="26"/>
      <c r="Q53" s="26"/>
      <c r="R53" s="29" t="s">
        <v>36</v>
      </c>
      <c r="S53" s="29" t="s">
        <v>37</v>
      </c>
      <c r="T53" s="29" t="s">
        <v>67</v>
      </c>
      <c r="U53" s="29" t="s">
        <v>203</v>
      </c>
      <c r="V53" s="29" t="s">
        <v>165</v>
      </c>
      <c r="W53" s="29" t="s">
        <v>40</v>
      </c>
      <c r="X53" s="29" t="s">
        <v>41</v>
      </c>
      <c r="Y53" s="30" t="s">
        <v>166</v>
      </c>
      <c r="Z53" s="41" t="s">
        <v>43</v>
      </c>
    </row>
    <row r="54" spans="1:26" s="6" customFormat="1" ht="57" customHeight="1" x14ac:dyDescent="0.25">
      <c r="A54" s="17" t="s">
        <v>161</v>
      </c>
      <c r="B54" s="18">
        <v>81112501</v>
      </c>
      <c r="C54" s="60" t="s">
        <v>204</v>
      </c>
      <c r="D54" s="20">
        <v>44048</v>
      </c>
      <c r="E54" s="51" t="s">
        <v>156</v>
      </c>
      <c r="F54" s="35" t="s">
        <v>198</v>
      </c>
      <c r="G54" s="18">
        <v>12</v>
      </c>
      <c r="H54" s="23" t="s">
        <v>32</v>
      </c>
      <c r="I54" s="19" t="s">
        <v>187</v>
      </c>
      <c r="J54" s="24" t="s">
        <v>194</v>
      </c>
      <c r="K54" s="24" t="s">
        <v>35</v>
      </c>
      <c r="L54" s="26">
        <f t="shared" si="1"/>
        <v>161696759</v>
      </c>
      <c r="M54" s="26">
        <f t="shared" si="0"/>
        <v>161696759</v>
      </c>
      <c r="N54" s="64">
        <v>104352893</v>
      </c>
      <c r="O54" s="46">
        <v>57343866</v>
      </c>
      <c r="P54" s="26"/>
      <c r="Q54" s="26"/>
      <c r="R54" s="29" t="s">
        <v>36</v>
      </c>
      <c r="S54" s="29" t="s">
        <v>37</v>
      </c>
      <c r="T54" s="29"/>
      <c r="U54" s="29" t="s">
        <v>185</v>
      </c>
      <c r="V54" s="29" t="s">
        <v>165</v>
      </c>
      <c r="W54" s="29" t="s">
        <v>40</v>
      </c>
      <c r="X54" s="29" t="s">
        <v>41</v>
      </c>
      <c r="Y54" s="30" t="s">
        <v>166</v>
      </c>
      <c r="Z54" s="41" t="s">
        <v>43</v>
      </c>
    </row>
    <row r="55" spans="1:26" s="6" customFormat="1" ht="57" customHeight="1" x14ac:dyDescent="0.25">
      <c r="A55" s="17" t="s">
        <v>161</v>
      </c>
      <c r="B55" s="18">
        <v>81112501</v>
      </c>
      <c r="C55" s="59" t="s">
        <v>205</v>
      </c>
      <c r="D55" s="20">
        <v>43868</v>
      </c>
      <c r="E55" s="29" t="s">
        <v>63</v>
      </c>
      <c r="F55" s="35" t="s">
        <v>64</v>
      </c>
      <c r="G55" s="18">
        <v>12</v>
      </c>
      <c r="H55" s="23" t="s">
        <v>32</v>
      </c>
      <c r="I55" s="19" t="s">
        <v>168</v>
      </c>
      <c r="J55" s="24" t="s">
        <v>194</v>
      </c>
      <c r="K55" s="24" t="s">
        <v>35</v>
      </c>
      <c r="L55" s="26">
        <f t="shared" si="1"/>
        <v>537250172</v>
      </c>
      <c r="M55" s="26">
        <f t="shared" si="0"/>
        <v>537250172</v>
      </c>
      <c r="N55" s="26">
        <v>349212612</v>
      </c>
      <c r="O55" s="26">
        <v>188037560</v>
      </c>
      <c r="P55" s="26"/>
      <c r="Q55" s="26"/>
      <c r="R55" s="29" t="s">
        <v>36</v>
      </c>
      <c r="S55" s="29" t="s">
        <v>37</v>
      </c>
      <c r="T55" s="29"/>
      <c r="U55" s="29" t="s">
        <v>195</v>
      </c>
      <c r="V55" s="29" t="s">
        <v>165</v>
      </c>
      <c r="W55" s="29" t="s">
        <v>40</v>
      </c>
      <c r="X55" s="29" t="s">
        <v>41</v>
      </c>
      <c r="Y55" s="30" t="s">
        <v>166</v>
      </c>
      <c r="Z55" s="41" t="s">
        <v>43</v>
      </c>
    </row>
    <row r="56" spans="1:26" s="6" customFormat="1" ht="57" customHeight="1" x14ac:dyDescent="0.25">
      <c r="A56" s="17" t="s">
        <v>161</v>
      </c>
      <c r="B56" s="18">
        <v>81112501</v>
      </c>
      <c r="C56" s="19" t="s">
        <v>206</v>
      </c>
      <c r="D56" s="20">
        <v>43921</v>
      </c>
      <c r="E56" s="29" t="s">
        <v>64</v>
      </c>
      <c r="F56" s="29" t="s">
        <v>50</v>
      </c>
      <c r="G56" s="18">
        <v>12</v>
      </c>
      <c r="H56" s="23" t="s">
        <v>32</v>
      </c>
      <c r="I56" s="19" t="s">
        <v>168</v>
      </c>
      <c r="J56" s="24" t="s">
        <v>194</v>
      </c>
      <c r="K56" s="24" t="s">
        <v>35</v>
      </c>
      <c r="L56" s="26">
        <f t="shared" si="1"/>
        <v>8773223</v>
      </c>
      <c r="M56" s="26">
        <f t="shared" si="0"/>
        <v>8773223</v>
      </c>
      <c r="N56" s="46">
        <v>5702595</v>
      </c>
      <c r="O56" s="46">
        <v>3070628</v>
      </c>
      <c r="P56" s="26"/>
      <c r="Q56" s="26"/>
      <c r="R56" s="29" t="s">
        <v>36</v>
      </c>
      <c r="S56" s="29" t="s">
        <v>37</v>
      </c>
      <c r="T56" s="29"/>
      <c r="U56" s="29" t="s">
        <v>195</v>
      </c>
      <c r="V56" s="29" t="s">
        <v>165</v>
      </c>
      <c r="W56" s="29" t="s">
        <v>40</v>
      </c>
      <c r="X56" s="29" t="s">
        <v>41</v>
      </c>
      <c r="Y56" s="30" t="s">
        <v>166</v>
      </c>
      <c r="Z56" s="41" t="s">
        <v>43</v>
      </c>
    </row>
    <row r="57" spans="1:26" s="6" customFormat="1" ht="57" customHeight="1" x14ac:dyDescent="0.25">
      <c r="A57" s="17" t="s">
        <v>161</v>
      </c>
      <c r="B57" s="18">
        <v>81112501</v>
      </c>
      <c r="C57" s="65" t="s">
        <v>207</v>
      </c>
      <c r="D57" s="39">
        <v>43889</v>
      </c>
      <c r="E57" s="66" t="s">
        <v>73</v>
      </c>
      <c r="F57" s="66" t="s">
        <v>63</v>
      </c>
      <c r="G57" s="18">
        <v>12</v>
      </c>
      <c r="H57" s="23" t="s">
        <v>32</v>
      </c>
      <c r="I57" s="19" t="s">
        <v>168</v>
      </c>
      <c r="J57" s="24" t="s">
        <v>194</v>
      </c>
      <c r="K57" s="24" t="s">
        <v>35</v>
      </c>
      <c r="L57" s="47">
        <f t="shared" si="1"/>
        <v>50000000</v>
      </c>
      <c r="M57" s="47">
        <f t="shared" si="0"/>
        <v>50000000</v>
      </c>
      <c r="N57" s="67">
        <v>32500000</v>
      </c>
      <c r="O57" s="67">
        <v>17500000</v>
      </c>
      <c r="P57" s="26"/>
      <c r="Q57" s="26"/>
      <c r="R57" s="29" t="s">
        <v>36</v>
      </c>
      <c r="S57" s="29" t="s">
        <v>37</v>
      </c>
      <c r="T57" s="29"/>
      <c r="U57" s="29" t="s">
        <v>195</v>
      </c>
      <c r="V57" s="29" t="s">
        <v>165</v>
      </c>
      <c r="W57" s="29" t="s">
        <v>40</v>
      </c>
      <c r="X57" s="29" t="s">
        <v>41</v>
      </c>
      <c r="Y57" s="30" t="s">
        <v>166</v>
      </c>
      <c r="Z57" s="41" t="s">
        <v>43</v>
      </c>
    </row>
    <row r="58" spans="1:26" s="6" customFormat="1" ht="57" customHeight="1" x14ac:dyDescent="0.25">
      <c r="A58" s="17" t="s">
        <v>161</v>
      </c>
      <c r="B58" s="18">
        <v>81112501</v>
      </c>
      <c r="C58" s="19" t="s">
        <v>208</v>
      </c>
      <c r="D58" s="20">
        <v>43987</v>
      </c>
      <c r="E58" s="51" t="s">
        <v>183</v>
      </c>
      <c r="F58" s="52" t="s">
        <v>155</v>
      </c>
      <c r="G58" s="18">
        <v>12</v>
      </c>
      <c r="H58" s="23" t="s">
        <v>32</v>
      </c>
      <c r="I58" s="19" t="s">
        <v>168</v>
      </c>
      <c r="J58" s="24" t="s">
        <v>194</v>
      </c>
      <c r="K58" s="24" t="s">
        <v>35</v>
      </c>
      <c r="L58" s="26">
        <f t="shared" si="1"/>
        <v>39605955</v>
      </c>
      <c r="M58" s="68">
        <f t="shared" si="0"/>
        <v>39605955</v>
      </c>
      <c r="N58" s="58">
        <v>24993871</v>
      </c>
      <c r="O58" s="46">
        <v>14612084</v>
      </c>
      <c r="P58" s="26"/>
      <c r="Q58" s="26"/>
      <c r="R58" s="29" t="s">
        <v>36</v>
      </c>
      <c r="S58" s="29" t="s">
        <v>37</v>
      </c>
      <c r="T58" s="29"/>
      <c r="U58" s="29" t="s">
        <v>195</v>
      </c>
      <c r="V58" s="29" t="s">
        <v>165</v>
      </c>
      <c r="W58" s="29" t="s">
        <v>40</v>
      </c>
      <c r="X58" s="29" t="s">
        <v>41</v>
      </c>
      <c r="Y58" s="30" t="s">
        <v>166</v>
      </c>
      <c r="Z58" s="41" t="s">
        <v>43</v>
      </c>
    </row>
    <row r="59" spans="1:26" s="6" customFormat="1" ht="57" customHeight="1" x14ac:dyDescent="0.25">
      <c r="A59" s="17" t="s">
        <v>161</v>
      </c>
      <c r="B59" s="18">
        <v>81112501</v>
      </c>
      <c r="C59" s="43" t="s">
        <v>209</v>
      </c>
      <c r="D59" s="39">
        <v>43921</v>
      </c>
      <c r="E59" s="66" t="s">
        <v>64</v>
      </c>
      <c r="F59" s="66" t="s">
        <v>50</v>
      </c>
      <c r="G59" s="18">
        <v>1</v>
      </c>
      <c r="H59" s="23" t="s">
        <v>32</v>
      </c>
      <c r="I59" s="19" t="s">
        <v>168</v>
      </c>
      <c r="J59" s="24" t="s">
        <v>194</v>
      </c>
      <c r="K59" s="24" t="s">
        <v>35</v>
      </c>
      <c r="L59" s="26">
        <f t="shared" si="1"/>
        <v>71181759</v>
      </c>
      <c r="M59" s="68">
        <f t="shared" si="0"/>
        <v>71181759</v>
      </c>
      <c r="N59" s="58">
        <v>45518143</v>
      </c>
      <c r="O59" s="46">
        <v>25663616</v>
      </c>
      <c r="P59" s="26"/>
      <c r="Q59" s="26"/>
      <c r="R59" s="29" t="s">
        <v>36</v>
      </c>
      <c r="S59" s="29" t="s">
        <v>37</v>
      </c>
      <c r="T59" s="29"/>
      <c r="U59" s="29" t="s">
        <v>195</v>
      </c>
      <c r="V59" s="29" t="s">
        <v>165</v>
      </c>
      <c r="W59" s="29" t="s">
        <v>40</v>
      </c>
      <c r="X59" s="29" t="s">
        <v>41</v>
      </c>
      <c r="Y59" s="30" t="s">
        <v>166</v>
      </c>
      <c r="Z59" s="41" t="s">
        <v>43</v>
      </c>
    </row>
    <row r="60" spans="1:26" s="6" customFormat="1" ht="57" customHeight="1" x14ac:dyDescent="0.25">
      <c r="A60" s="17" t="s">
        <v>161</v>
      </c>
      <c r="B60" s="18">
        <v>81112501</v>
      </c>
      <c r="C60" s="60" t="s">
        <v>210</v>
      </c>
      <c r="D60" s="20">
        <v>43889</v>
      </c>
      <c r="E60" s="29" t="s">
        <v>63</v>
      </c>
      <c r="F60" s="35" t="s">
        <v>64</v>
      </c>
      <c r="G60" s="18">
        <v>12</v>
      </c>
      <c r="H60" s="23" t="s">
        <v>32</v>
      </c>
      <c r="I60" s="19" t="s">
        <v>168</v>
      </c>
      <c r="J60" s="24" t="s">
        <v>194</v>
      </c>
      <c r="K60" s="24" t="s">
        <v>35</v>
      </c>
      <c r="L60" s="26">
        <f t="shared" si="1"/>
        <v>291064798</v>
      </c>
      <c r="M60" s="26">
        <f t="shared" si="0"/>
        <v>291064798</v>
      </c>
      <c r="N60" s="26">
        <f>208497849-19305730</f>
        <v>189192119</v>
      </c>
      <c r="O60" s="26">
        <f>112268073-10395394</f>
        <v>101872679</v>
      </c>
      <c r="P60" s="26"/>
      <c r="Q60" s="26"/>
      <c r="R60" s="29" t="s">
        <v>36</v>
      </c>
      <c r="S60" s="29" t="s">
        <v>37</v>
      </c>
      <c r="T60" s="29" t="s">
        <v>98</v>
      </c>
      <c r="U60" s="29" t="s">
        <v>195</v>
      </c>
      <c r="V60" s="29" t="s">
        <v>165</v>
      </c>
      <c r="W60" s="29" t="s">
        <v>40</v>
      </c>
      <c r="X60" s="29" t="s">
        <v>41</v>
      </c>
      <c r="Y60" s="30" t="s">
        <v>166</v>
      </c>
      <c r="Z60" s="41" t="s">
        <v>43</v>
      </c>
    </row>
    <row r="61" spans="1:26" s="6" customFormat="1" ht="57" customHeight="1" x14ac:dyDescent="0.25">
      <c r="A61" s="17" t="s">
        <v>161</v>
      </c>
      <c r="B61" s="18">
        <v>81111811</v>
      </c>
      <c r="C61" s="59" t="s">
        <v>211</v>
      </c>
      <c r="D61" s="20">
        <v>43951</v>
      </c>
      <c r="E61" s="29" t="s">
        <v>31</v>
      </c>
      <c r="F61" s="35" t="s">
        <v>183</v>
      </c>
      <c r="G61" s="18">
        <v>12</v>
      </c>
      <c r="H61" s="23" t="s">
        <v>32</v>
      </c>
      <c r="I61" s="19" t="s">
        <v>33</v>
      </c>
      <c r="J61" s="29" t="s">
        <v>212</v>
      </c>
      <c r="K61" s="24" t="s">
        <v>35</v>
      </c>
      <c r="L61" s="26">
        <f t="shared" si="1"/>
        <v>529173412</v>
      </c>
      <c r="M61" s="26">
        <f t="shared" si="0"/>
        <v>529173412</v>
      </c>
      <c r="N61" s="26">
        <v>343962718</v>
      </c>
      <c r="O61" s="26">
        <v>185210694</v>
      </c>
      <c r="P61" s="26"/>
      <c r="Q61" s="26"/>
      <c r="R61" s="29" t="s">
        <v>36</v>
      </c>
      <c r="S61" s="29" t="s">
        <v>37</v>
      </c>
      <c r="T61" s="29"/>
      <c r="U61" s="29" t="s">
        <v>213</v>
      </c>
      <c r="V61" s="29" t="s">
        <v>165</v>
      </c>
      <c r="W61" s="29" t="s">
        <v>40</v>
      </c>
      <c r="X61" s="29" t="s">
        <v>41</v>
      </c>
      <c r="Y61" s="30" t="s">
        <v>166</v>
      </c>
      <c r="Z61" s="41" t="s">
        <v>43</v>
      </c>
    </row>
    <row r="62" spans="1:26" s="6" customFormat="1" ht="42.75" customHeight="1" x14ac:dyDescent="0.25">
      <c r="A62" s="17" t="s">
        <v>161</v>
      </c>
      <c r="B62" s="18">
        <v>81111811</v>
      </c>
      <c r="C62" s="19" t="s">
        <v>214</v>
      </c>
      <c r="D62" s="20"/>
      <c r="E62" s="21"/>
      <c r="F62" s="21"/>
      <c r="G62" s="37"/>
      <c r="H62" s="23"/>
      <c r="I62" s="24" t="s">
        <v>46</v>
      </c>
      <c r="J62" s="24" t="s">
        <v>184</v>
      </c>
      <c r="K62" s="46" t="s">
        <v>35</v>
      </c>
      <c r="L62" s="26">
        <f t="shared" si="1"/>
        <v>13694833606</v>
      </c>
      <c r="M62" s="26">
        <f t="shared" si="0"/>
        <v>5102501873</v>
      </c>
      <c r="N62" s="26">
        <f>5102501873*0.65</f>
        <v>3316626217.4500003</v>
      </c>
      <c r="O62" s="26">
        <f>5102501873*0.35</f>
        <v>1785875655.55</v>
      </c>
      <c r="P62" s="26">
        <f>5262916643</f>
        <v>5262916643</v>
      </c>
      <c r="Q62" s="26">
        <v>3329415090</v>
      </c>
      <c r="R62" s="29" t="s">
        <v>172</v>
      </c>
      <c r="S62" s="29" t="s">
        <v>215</v>
      </c>
      <c r="T62" s="29" t="s">
        <v>48</v>
      </c>
      <c r="U62" s="29"/>
      <c r="V62" s="29" t="s">
        <v>165</v>
      </c>
      <c r="W62" s="29" t="s">
        <v>40</v>
      </c>
      <c r="X62" s="29" t="s">
        <v>41</v>
      </c>
      <c r="Y62" s="30" t="s">
        <v>166</v>
      </c>
      <c r="Z62" s="41" t="s">
        <v>43</v>
      </c>
    </row>
    <row r="63" spans="1:26" s="6" customFormat="1" ht="57" customHeight="1" x14ac:dyDescent="0.25">
      <c r="A63" s="17" t="s">
        <v>161</v>
      </c>
      <c r="B63" s="18">
        <v>81112501</v>
      </c>
      <c r="C63" s="19" t="s">
        <v>216</v>
      </c>
      <c r="D63" s="20">
        <v>43847</v>
      </c>
      <c r="E63" s="29" t="s">
        <v>146</v>
      </c>
      <c r="F63" s="35" t="s">
        <v>73</v>
      </c>
      <c r="G63" s="18">
        <v>10</v>
      </c>
      <c r="H63" s="23" t="s">
        <v>32</v>
      </c>
      <c r="I63" s="19" t="s">
        <v>168</v>
      </c>
      <c r="J63" s="29" t="s">
        <v>184</v>
      </c>
      <c r="K63" s="24" t="s">
        <v>35</v>
      </c>
      <c r="L63" s="47">
        <f t="shared" si="1"/>
        <v>139096848</v>
      </c>
      <c r="M63" s="47">
        <f t="shared" si="0"/>
        <v>139096848</v>
      </c>
      <c r="N63" s="47">
        <f>99316103-8903152</f>
        <v>90412951</v>
      </c>
      <c r="O63" s="47">
        <v>48683897</v>
      </c>
      <c r="P63" s="26"/>
      <c r="Q63" s="26"/>
      <c r="R63" s="29" t="s">
        <v>36</v>
      </c>
      <c r="S63" s="29" t="s">
        <v>37</v>
      </c>
      <c r="T63" s="29" t="s">
        <v>98</v>
      </c>
      <c r="U63" s="29" t="s">
        <v>217</v>
      </c>
      <c r="V63" s="29" t="s">
        <v>165</v>
      </c>
      <c r="W63" s="29" t="s">
        <v>40</v>
      </c>
      <c r="X63" s="29" t="s">
        <v>41</v>
      </c>
      <c r="Y63" s="30" t="s">
        <v>166</v>
      </c>
      <c r="Z63" s="41" t="s">
        <v>43</v>
      </c>
    </row>
    <row r="64" spans="1:26" s="6" customFormat="1" ht="57" customHeight="1" x14ac:dyDescent="0.25">
      <c r="A64" s="17" t="s">
        <v>161</v>
      </c>
      <c r="B64" s="18"/>
      <c r="C64" s="19" t="s">
        <v>218</v>
      </c>
      <c r="D64" s="20"/>
      <c r="E64" s="29"/>
      <c r="F64" s="35"/>
      <c r="G64" s="18"/>
      <c r="H64" s="23"/>
      <c r="I64" s="19"/>
      <c r="J64" s="29"/>
      <c r="K64" s="24"/>
      <c r="L64" s="47">
        <f t="shared" si="1"/>
        <v>8903152</v>
      </c>
      <c r="M64" s="47">
        <f t="shared" si="0"/>
        <v>8903152</v>
      </c>
      <c r="N64" s="47">
        <f>99316103-90412951</f>
        <v>8903152</v>
      </c>
      <c r="O64" s="47"/>
      <c r="P64" s="26"/>
      <c r="Q64" s="26"/>
      <c r="R64" s="29" t="s">
        <v>36</v>
      </c>
      <c r="S64" s="29" t="s">
        <v>37</v>
      </c>
      <c r="T64" s="29" t="s">
        <v>219</v>
      </c>
      <c r="U64" s="29"/>
      <c r="V64" s="29"/>
      <c r="W64" s="29"/>
      <c r="X64" s="29"/>
      <c r="Y64" s="30"/>
      <c r="Z64" s="41"/>
    </row>
    <row r="65" spans="1:57" s="6" customFormat="1" ht="57" customHeight="1" x14ac:dyDescent="0.25">
      <c r="A65" s="17" t="s">
        <v>161</v>
      </c>
      <c r="B65" s="18">
        <v>81112501</v>
      </c>
      <c r="C65" s="19" t="s">
        <v>220</v>
      </c>
      <c r="D65" s="20">
        <v>44071</v>
      </c>
      <c r="E65" s="51" t="s">
        <v>156</v>
      </c>
      <c r="F65" s="35" t="s">
        <v>198</v>
      </c>
      <c r="G65" s="22">
        <v>45</v>
      </c>
      <c r="H65" s="23" t="s">
        <v>175</v>
      </c>
      <c r="I65" s="19" t="s">
        <v>200</v>
      </c>
      <c r="J65" s="24" t="s">
        <v>194</v>
      </c>
      <c r="K65" s="24" t="s">
        <v>35</v>
      </c>
      <c r="L65" s="26">
        <f t="shared" si="1"/>
        <v>10000000</v>
      </c>
      <c r="M65" s="26">
        <f t="shared" si="0"/>
        <v>10000000</v>
      </c>
      <c r="N65" s="58">
        <v>6500000</v>
      </c>
      <c r="O65" s="26">
        <v>3500000</v>
      </c>
      <c r="P65" s="26"/>
      <c r="Q65" s="26"/>
      <c r="R65" s="29" t="s">
        <v>36</v>
      </c>
      <c r="S65" s="29" t="s">
        <v>37</v>
      </c>
      <c r="T65" s="29"/>
      <c r="U65" s="29" t="s">
        <v>221</v>
      </c>
      <c r="V65" s="29" t="s">
        <v>165</v>
      </c>
      <c r="W65" s="29" t="s">
        <v>40</v>
      </c>
      <c r="X65" s="29" t="s">
        <v>41</v>
      </c>
      <c r="Y65" s="30" t="s">
        <v>166</v>
      </c>
      <c r="Z65" s="41" t="s">
        <v>43</v>
      </c>
    </row>
    <row r="66" spans="1:57" s="69" customFormat="1" ht="113.25" customHeight="1" x14ac:dyDescent="0.25">
      <c r="A66" s="17" t="s">
        <v>222</v>
      </c>
      <c r="B66" s="51" t="s">
        <v>223</v>
      </c>
      <c r="C66" s="61" t="s">
        <v>224</v>
      </c>
      <c r="D66" s="20">
        <v>43846</v>
      </c>
      <c r="E66" s="21" t="s">
        <v>73</v>
      </c>
      <c r="F66" s="35" t="s">
        <v>63</v>
      </c>
      <c r="G66" s="22">
        <v>9</v>
      </c>
      <c r="H66" s="23" t="s">
        <v>32</v>
      </c>
      <c r="I66" s="70" t="s">
        <v>200</v>
      </c>
      <c r="J66" s="61" t="s">
        <v>224</v>
      </c>
      <c r="K66" s="70" t="s">
        <v>225</v>
      </c>
      <c r="L66" s="26">
        <f t="shared" si="1"/>
        <v>2185454</v>
      </c>
      <c r="M66" s="26">
        <f t="shared" si="0"/>
        <v>2185454</v>
      </c>
      <c r="N66" s="71">
        <v>2185454</v>
      </c>
      <c r="O66" s="71"/>
      <c r="P66" s="71"/>
      <c r="Q66" s="71"/>
      <c r="R66" s="78" t="s">
        <v>36</v>
      </c>
      <c r="S66" s="73" t="s">
        <v>37</v>
      </c>
      <c r="T66" s="73" t="s">
        <v>67</v>
      </c>
      <c r="U66" s="51" t="s">
        <v>226</v>
      </c>
      <c r="V66" s="76" t="s">
        <v>165</v>
      </c>
      <c r="W66" s="73" t="s">
        <v>227</v>
      </c>
      <c r="X66" s="73" t="s">
        <v>41</v>
      </c>
      <c r="Y66" s="73" t="s">
        <v>166</v>
      </c>
      <c r="Z66" s="75" t="s">
        <v>43</v>
      </c>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row>
    <row r="67" spans="1:57" ht="57" customHeight="1" x14ac:dyDescent="0.25">
      <c r="A67" s="17" t="s">
        <v>222</v>
      </c>
      <c r="B67" s="51" t="s">
        <v>228</v>
      </c>
      <c r="C67" s="61" t="s">
        <v>229</v>
      </c>
      <c r="D67" s="20">
        <v>43868</v>
      </c>
      <c r="E67" s="61" t="s">
        <v>73</v>
      </c>
      <c r="F67" s="35" t="s">
        <v>64</v>
      </c>
      <c r="G67" s="117">
        <v>9</v>
      </c>
      <c r="H67" s="23" t="s">
        <v>32</v>
      </c>
      <c r="I67" s="70" t="s">
        <v>187</v>
      </c>
      <c r="J67" s="61" t="s">
        <v>230</v>
      </c>
      <c r="K67" s="70" t="s">
        <v>231</v>
      </c>
      <c r="L67" s="26">
        <f t="shared" si="1"/>
        <v>68291060</v>
      </c>
      <c r="M67" s="26">
        <f t="shared" si="0"/>
        <v>68291060</v>
      </c>
      <c r="N67" s="71">
        <v>68291060</v>
      </c>
      <c r="O67" s="71"/>
      <c r="P67" s="71"/>
      <c r="Q67" s="71"/>
      <c r="R67" s="78" t="s">
        <v>36</v>
      </c>
      <c r="S67" s="73" t="s">
        <v>37</v>
      </c>
      <c r="T67" s="73" t="s">
        <v>67</v>
      </c>
      <c r="U67" s="51" t="s">
        <v>226</v>
      </c>
      <c r="V67" s="76" t="s">
        <v>165</v>
      </c>
      <c r="W67" s="73" t="s">
        <v>227</v>
      </c>
      <c r="X67" s="73" t="s">
        <v>41</v>
      </c>
      <c r="Y67" s="73" t="s">
        <v>232</v>
      </c>
      <c r="Z67" s="75" t="s">
        <v>43</v>
      </c>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row>
    <row r="68" spans="1:57" ht="75" customHeight="1" x14ac:dyDescent="0.3">
      <c r="A68" s="17" t="s">
        <v>222</v>
      </c>
      <c r="B68" s="118" t="s">
        <v>233</v>
      </c>
      <c r="C68" s="61" t="s">
        <v>234</v>
      </c>
      <c r="D68" s="20">
        <v>43868</v>
      </c>
      <c r="E68" s="61" t="s">
        <v>73</v>
      </c>
      <c r="F68" s="35" t="s">
        <v>64</v>
      </c>
      <c r="G68" s="35">
        <v>1</v>
      </c>
      <c r="H68" s="23" t="s">
        <v>32</v>
      </c>
      <c r="I68" s="70" t="s">
        <v>191</v>
      </c>
      <c r="J68" s="61" t="s">
        <v>235</v>
      </c>
      <c r="K68" s="70" t="s">
        <v>236</v>
      </c>
      <c r="L68" s="26">
        <f t="shared" si="1"/>
        <v>85529246</v>
      </c>
      <c r="M68" s="26">
        <f t="shared" si="0"/>
        <v>85529246</v>
      </c>
      <c r="N68" s="71">
        <f>68831207+7473649+1524390+7700000</f>
        <v>85529246</v>
      </c>
      <c r="O68" s="71"/>
      <c r="P68" s="71"/>
      <c r="Q68" s="71"/>
      <c r="R68" s="72" t="s">
        <v>36</v>
      </c>
      <c r="S68" s="73" t="s">
        <v>37</v>
      </c>
      <c r="T68" s="73" t="s">
        <v>67</v>
      </c>
      <c r="U68" s="51" t="s">
        <v>226</v>
      </c>
      <c r="V68" s="76" t="s">
        <v>165</v>
      </c>
      <c r="W68" s="73" t="s">
        <v>227</v>
      </c>
      <c r="X68" s="73" t="s">
        <v>41</v>
      </c>
      <c r="Y68" s="73" t="s">
        <v>237</v>
      </c>
      <c r="Z68" s="75" t="s">
        <v>43</v>
      </c>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row>
    <row r="69" spans="1:57" ht="42.75" customHeight="1" x14ac:dyDescent="0.3">
      <c r="A69" s="17" t="s">
        <v>222</v>
      </c>
      <c r="B69" s="51" t="s">
        <v>238</v>
      </c>
      <c r="C69" s="61" t="s">
        <v>239</v>
      </c>
      <c r="D69" s="20">
        <v>43868</v>
      </c>
      <c r="E69" s="29" t="s">
        <v>63</v>
      </c>
      <c r="F69" s="29" t="s">
        <v>63</v>
      </c>
      <c r="G69" s="35">
        <v>9</v>
      </c>
      <c r="H69" s="23" t="s">
        <v>32</v>
      </c>
      <c r="I69" s="70" t="s">
        <v>200</v>
      </c>
      <c r="J69" s="61" t="s">
        <v>240</v>
      </c>
      <c r="K69" s="70" t="s">
        <v>231</v>
      </c>
      <c r="L69" s="26">
        <f t="shared" si="1"/>
        <v>25750000</v>
      </c>
      <c r="M69" s="26">
        <f t="shared" si="0"/>
        <v>25750000</v>
      </c>
      <c r="N69" s="119">
        <v>25750000</v>
      </c>
      <c r="O69" s="71">
        <v>0</v>
      </c>
      <c r="P69" s="71"/>
      <c r="Q69" s="71"/>
      <c r="R69" s="72" t="s">
        <v>36</v>
      </c>
      <c r="S69" s="73" t="s">
        <v>37</v>
      </c>
      <c r="T69" s="73" t="s">
        <v>67</v>
      </c>
      <c r="U69" s="51" t="s">
        <v>226</v>
      </c>
      <c r="V69" s="120" t="s">
        <v>39</v>
      </c>
      <c r="W69" s="73" t="s">
        <v>40</v>
      </c>
      <c r="X69" s="73" t="s">
        <v>41</v>
      </c>
      <c r="Y69" s="73" t="s">
        <v>241</v>
      </c>
      <c r="Z69" s="75" t="s">
        <v>43</v>
      </c>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row>
    <row r="70" spans="1:57" ht="71.25" customHeight="1" x14ac:dyDescent="0.3">
      <c r="A70" s="17" t="s">
        <v>222</v>
      </c>
      <c r="B70" s="51" t="s">
        <v>242</v>
      </c>
      <c r="C70" s="61" t="s">
        <v>243</v>
      </c>
      <c r="D70" s="20">
        <v>43868</v>
      </c>
      <c r="E70" s="29" t="s">
        <v>63</v>
      </c>
      <c r="F70" s="35" t="s">
        <v>64</v>
      </c>
      <c r="G70" s="35">
        <v>6</v>
      </c>
      <c r="H70" s="23" t="s">
        <v>32</v>
      </c>
      <c r="I70" s="70" t="s">
        <v>187</v>
      </c>
      <c r="J70" s="61" t="s">
        <v>244</v>
      </c>
      <c r="K70" s="70" t="s">
        <v>231</v>
      </c>
      <c r="L70" s="26">
        <f t="shared" si="1"/>
        <v>175535000</v>
      </c>
      <c r="M70" s="26">
        <f t="shared" ref="M70:M133" si="2">+O70+N70</f>
        <v>175535000</v>
      </c>
      <c r="N70" s="71">
        <f>141535000+34000000</f>
        <v>175535000</v>
      </c>
      <c r="O70" s="71"/>
      <c r="P70" s="71"/>
      <c r="Q70" s="71"/>
      <c r="R70" s="72" t="s">
        <v>36</v>
      </c>
      <c r="S70" s="73" t="s">
        <v>37</v>
      </c>
      <c r="T70" s="73"/>
      <c r="U70" s="51" t="s">
        <v>226</v>
      </c>
      <c r="V70" s="74" t="s">
        <v>39</v>
      </c>
      <c r="W70" s="73" t="s">
        <v>40</v>
      </c>
      <c r="X70" s="73" t="s">
        <v>41</v>
      </c>
      <c r="Y70" s="73" t="s">
        <v>245</v>
      </c>
      <c r="Z70" s="75" t="s">
        <v>43</v>
      </c>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row>
    <row r="71" spans="1:57" ht="57" customHeight="1" x14ac:dyDescent="0.3">
      <c r="A71" s="17" t="s">
        <v>222</v>
      </c>
      <c r="B71" s="51" t="s">
        <v>246</v>
      </c>
      <c r="C71" s="61" t="s">
        <v>247</v>
      </c>
      <c r="D71" s="20">
        <v>44104</v>
      </c>
      <c r="E71" s="51" t="s">
        <v>156</v>
      </c>
      <c r="F71" s="35" t="s">
        <v>198</v>
      </c>
      <c r="G71" s="35">
        <v>1</v>
      </c>
      <c r="H71" s="23" t="s">
        <v>32</v>
      </c>
      <c r="I71" s="70" t="s">
        <v>33</v>
      </c>
      <c r="J71" s="61" t="s">
        <v>244</v>
      </c>
      <c r="K71" s="70" t="s">
        <v>231</v>
      </c>
      <c r="L71" s="26">
        <f t="shared" si="1"/>
        <v>5000000</v>
      </c>
      <c r="M71" s="26">
        <f t="shared" si="2"/>
        <v>5000000</v>
      </c>
      <c r="N71" s="71">
        <v>5000000</v>
      </c>
      <c r="O71" s="71"/>
      <c r="P71" s="71"/>
      <c r="Q71" s="71"/>
      <c r="R71" s="72" t="s">
        <v>36</v>
      </c>
      <c r="S71" s="73" t="s">
        <v>37</v>
      </c>
      <c r="T71" s="73"/>
      <c r="U71" s="51" t="s">
        <v>226</v>
      </c>
      <c r="V71" s="76" t="s">
        <v>39</v>
      </c>
      <c r="W71" s="73" t="s">
        <v>40</v>
      </c>
      <c r="X71" s="73" t="s">
        <v>41</v>
      </c>
      <c r="Y71" s="73" t="s">
        <v>248</v>
      </c>
      <c r="Z71" s="75" t="s">
        <v>43</v>
      </c>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row>
    <row r="72" spans="1:57" ht="57" customHeight="1" x14ac:dyDescent="0.25">
      <c r="A72" s="17" t="s">
        <v>222</v>
      </c>
      <c r="B72" s="51" t="s">
        <v>246</v>
      </c>
      <c r="C72" s="61" t="s">
        <v>249</v>
      </c>
      <c r="D72" s="20">
        <v>44071</v>
      </c>
      <c r="E72" s="21" t="s">
        <v>155</v>
      </c>
      <c r="F72" s="35" t="s">
        <v>156</v>
      </c>
      <c r="G72" s="35">
        <v>1</v>
      </c>
      <c r="H72" s="23" t="s">
        <v>32</v>
      </c>
      <c r="I72" s="70" t="s">
        <v>33</v>
      </c>
      <c r="J72" s="61" t="s">
        <v>244</v>
      </c>
      <c r="K72" s="70" t="s">
        <v>231</v>
      </c>
      <c r="L72" s="26">
        <f t="shared" ref="L72:L141" si="3">+M72+P72+Q72</f>
        <v>2850000</v>
      </c>
      <c r="M72" s="26">
        <f t="shared" si="2"/>
        <v>2850000</v>
      </c>
      <c r="N72" s="71">
        <v>2850000</v>
      </c>
      <c r="O72" s="71"/>
      <c r="P72" s="71"/>
      <c r="Q72" s="71"/>
      <c r="R72" s="77" t="s">
        <v>36</v>
      </c>
      <c r="S72" s="78" t="s">
        <v>37</v>
      </c>
      <c r="T72" s="73"/>
      <c r="U72" s="51" t="s">
        <v>226</v>
      </c>
      <c r="V72" s="76" t="s">
        <v>39</v>
      </c>
      <c r="W72" s="73" t="s">
        <v>40</v>
      </c>
      <c r="X72" s="73" t="s">
        <v>41</v>
      </c>
      <c r="Y72" s="73" t="s">
        <v>250</v>
      </c>
      <c r="Z72" s="75" t="s">
        <v>43</v>
      </c>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row>
    <row r="73" spans="1:57" ht="57" customHeight="1" x14ac:dyDescent="0.25">
      <c r="A73" s="17" t="s">
        <v>222</v>
      </c>
      <c r="B73" s="51" t="s">
        <v>246</v>
      </c>
      <c r="C73" s="61" t="s">
        <v>251</v>
      </c>
      <c r="D73" s="20">
        <v>44134</v>
      </c>
      <c r="E73" s="51" t="s">
        <v>198</v>
      </c>
      <c r="F73" s="35" t="s">
        <v>252</v>
      </c>
      <c r="G73" s="35">
        <v>1</v>
      </c>
      <c r="H73" s="23" t="s">
        <v>32</v>
      </c>
      <c r="I73" s="70" t="s">
        <v>33</v>
      </c>
      <c r="J73" s="61" t="s">
        <v>244</v>
      </c>
      <c r="K73" s="70" t="s">
        <v>231</v>
      </c>
      <c r="L73" s="26">
        <f t="shared" si="3"/>
        <v>3500000</v>
      </c>
      <c r="M73" s="26">
        <f t="shared" si="2"/>
        <v>3500000</v>
      </c>
      <c r="N73" s="71">
        <v>3500000</v>
      </c>
      <c r="O73" s="71"/>
      <c r="P73" s="71"/>
      <c r="Q73" s="71"/>
      <c r="R73" s="77" t="s">
        <v>36</v>
      </c>
      <c r="S73" s="78" t="s">
        <v>37</v>
      </c>
      <c r="T73" s="73"/>
      <c r="U73" s="51" t="s">
        <v>226</v>
      </c>
      <c r="V73" s="76" t="s">
        <v>39</v>
      </c>
      <c r="W73" s="73" t="s">
        <v>40</v>
      </c>
      <c r="X73" s="73" t="s">
        <v>41</v>
      </c>
      <c r="Y73" s="73" t="s">
        <v>253</v>
      </c>
      <c r="Z73" s="75" t="s">
        <v>43</v>
      </c>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row>
    <row r="74" spans="1:57" ht="57" customHeight="1" x14ac:dyDescent="0.25">
      <c r="A74" s="17" t="s">
        <v>222</v>
      </c>
      <c r="B74" s="51" t="s">
        <v>246</v>
      </c>
      <c r="C74" s="61" t="s">
        <v>254</v>
      </c>
      <c r="D74" s="20">
        <v>44043</v>
      </c>
      <c r="E74" s="51" t="s">
        <v>183</v>
      </c>
      <c r="F74" s="52" t="s">
        <v>155</v>
      </c>
      <c r="G74" s="35">
        <v>1</v>
      </c>
      <c r="H74" s="23" t="s">
        <v>32</v>
      </c>
      <c r="I74" s="70" t="s">
        <v>33</v>
      </c>
      <c r="J74" s="61" t="s">
        <v>244</v>
      </c>
      <c r="K74" s="70" t="s">
        <v>231</v>
      </c>
      <c r="L74" s="26">
        <f t="shared" si="3"/>
        <v>4250000</v>
      </c>
      <c r="M74" s="26">
        <f t="shared" si="2"/>
        <v>4250000</v>
      </c>
      <c r="N74" s="71">
        <v>4250000</v>
      </c>
      <c r="O74" s="71"/>
      <c r="P74" s="71"/>
      <c r="Q74" s="71"/>
      <c r="R74" s="77" t="s">
        <v>36</v>
      </c>
      <c r="S74" s="78" t="s">
        <v>37</v>
      </c>
      <c r="T74" s="73"/>
      <c r="U74" s="51" t="s">
        <v>226</v>
      </c>
      <c r="V74" s="76" t="s">
        <v>39</v>
      </c>
      <c r="W74" s="73" t="s">
        <v>40</v>
      </c>
      <c r="X74" s="73" t="s">
        <v>41</v>
      </c>
      <c r="Y74" s="73" t="s">
        <v>255</v>
      </c>
      <c r="Z74" s="75" t="s">
        <v>43</v>
      </c>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row>
    <row r="75" spans="1:57" ht="57" customHeight="1" x14ac:dyDescent="0.25">
      <c r="A75" s="17" t="s">
        <v>222</v>
      </c>
      <c r="B75" s="51" t="s">
        <v>246</v>
      </c>
      <c r="C75" s="61" t="s">
        <v>256</v>
      </c>
      <c r="D75" s="20">
        <v>43921</v>
      </c>
      <c r="E75" s="29" t="s">
        <v>63</v>
      </c>
      <c r="F75" s="29" t="s">
        <v>63</v>
      </c>
      <c r="G75" s="35" t="s">
        <v>257</v>
      </c>
      <c r="H75" s="23" t="s">
        <v>32</v>
      </c>
      <c r="I75" s="70" t="s">
        <v>33</v>
      </c>
      <c r="J75" s="61" t="s">
        <v>244</v>
      </c>
      <c r="K75" s="70" t="s">
        <v>231</v>
      </c>
      <c r="L75" s="26">
        <f t="shared" si="3"/>
        <v>8000000</v>
      </c>
      <c r="M75" s="26">
        <f t="shared" si="2"/>
        <v>8000000</v>
      </c>
      <c r="N75" s="71">
        <v>8000000</v>
      </c>
      <c r="O75" s="71"/>
      <c r="P75" s="71"/>
      <c r="Q75" s="71"/>
      <c r="R75" s="77" t="s">
        <v>36</v>
      </c>
      <c r="S75" s="78" t="s">
        <v>37</v>
      </c>
      <c r="T75" s="73"/>
      <c r="U75" s="51" t="s">
        <v>226</v>
      </c>
      <c r="V75" s="76" t="s">
        <v>39</v>
      </c>
      <c r="W75" s="73" t="s">
        <v>40</v>
      </c>
      <c r="X75" s="73" t="s">
        <v>41</v>
      </c>
      <c r="Y75" s="73" t="s">
        <v>258</v>
      </c>
      <c r="Z75" s="75" t="s">
        <v>43</v>
      </c>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row>
    <row r="76" spans="1:57" ht="57" customHeight="1" x14ac:dyDescent="0.25">
      <c r="A76" s="17" t="s">
        <v>222</v>
      </c>
      <c r="B76" s="51" t="s">
        <v>259</v>
      </c>
      <c r="C76" s="61" t="s">
        <v>260</v>
      </c>
      <c r="D76" s="20">
        <v>43868</v>
      </c>
      <c r="E76" s="29" t="s">
        <v>63</v>
      </c>
      <c r="F76" s="35" t="s">
        <v>64</v>
      </c>
      <c r="G76" s="79">
        <v>9</v>
      </c>
      <c r="H76" s="23" t="s">
        <v>32</v>
      </c>
      <c r="I76" s="70" t="s">
        <v>187</v>
      </c>
      <c r="J76" s="61" t="s">
        <v>261</v>
      </c>
      <c r="K76" s="70" t="s">
        <v>231</v>
      </c>
      <c r="L76" s="26">
        <f t="shared" si="3"/>
        <v>325434639</v>
      </c>
      <c r="M76" s="26">
        <f t="shared" si="2"/>
        <v>325434639</v>
      </c>
      <c r="N76" s="71">
        <v>325434639</v>
      </c>
      <c r="O76" s="26">
        <v>0</v>
      </c>
      <c r="P76" s="71"/>
      <c r="Q76" s="71"/>
      <c r="R76" s="77" t="s">
        <v>36</v>
      </c>
      <c r="S76" s="78" t="s">
        <v>37</v>
      </c>
      <c r="T76" s="73" t="s">
        <v>67</v>
      </c>
      <c r="U76" s="51" t="s">
        <v>226</v>
      </c>
      <c r="V76" s="76" t="s">
        <v>39</v>
      </c>
      <c r="W76" s="73" t="s">
        <v>40</v>
      </c>
      <c r="X76" s="73" t="s">
        <v>41</v>
      </c>
      <c r="Y76" s="73" t="s">
        <v>262</v>
      </c>
      <c r="Z76" s="75" t="s">
        <v>43</v>
      </c>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row>
    <row r="77" spans="1:57" ht="42.75" customHeight="1" x14ac:dyDescent="0.25">
      <c r="A77" s="17" t="s">
        <v>222</v>
      </c>
      <c r="B77" s="18">
        <v>90121502</v>
      </c>
      <c r="C77" s="19" t="s">
        <v>263</v>
      </c>
      <c r="D77" s="20">
        <v>44043</v>
      </c>
      <c r="E77" s="21" t="s">
        <v>155</v>
      </c>
      <c r="F77" s="21" t="s">
        <v>155</v>
      </c>
      <c r="G77" s="37">
        <v>12</v>
      </c>
      <c r="H77" s="23" t="s">
        <v>32</v>
      </c>
      <c r="I77" s="24" t="s">
        <v>46</v>
      </c>
      <c r="J77" s="24" t="s">
        <v>264</v>
      </c>
      <c r="K77" s="46" t="s">
        <v>265</v>
      </c>
      <c r="L77" s="26">
        <f t="shared" si="3"/>
        <v>1386243400</v>
      </c>
      <c r="M77" s="26">
        <f t="shared" si="2"/>
        <v>1386243400</v>
      </c>
      <c r="N77" s="26">
        <v>842797000</v>
      </c>
      <c r="O77" s="26">
        <v>543446400</v>
      </c>
      <c r="P77" s="26"/>
      <c r="Q77" s="26"/>
      <c r="R77" s="29" t="s">
        <v>266</v>
      </c>
      <c r="S77" s="29" t="s">
        <v>215</v>
      </c>
      <c r="T77" s="29" t="s">
        <v>48</v>
      </c>
      <c r="U77" s="29" t="s">
        <v>226</v>
      </c>
      <c r="V77" s="29" t="s">
        <v>39</v>
      </c>
      <c r="W77" s="29" t="s">
        <v>40</v>
      </c>
      <c r="X77" s="29" t="s">
        <v>41</v>
      </c>
      <c r="Y77" s="30" t="s">
        <v>267</v>
      </c>
      <c r="Z77" s="41" t="s">
        <v>43</v>
      </c>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row>
    <row r="78" spans="1:57" ht="57" customHeight="1" x14ac:dyDescent="0.25">
      <c r="A78" s="17" t="s">
        <v>222</v>
      </c>
      <c r="B78" s="51">
        <v>90121502</v>
      </c>
      <c r="C78" s="61" t="s">
        <v>268</v>
      </c>
      <c r="D78" s="20">
        <v>44012</v>
      </c>
      <c r="E78" s="21" t="s">
        <v>155</v>
      </c>
      <c r="F78" s="52" t="s">
        <v>155</v>
      </c>
      <c r="G78" s="79">
        <v>12</v>
      </c>
      <c r="H78" s="23" t="s">
        <v>32</v>
      </c>
      <c r="I78" s="19" t="s">
        <v>168</v>
      </c>
      <c r="J78" s="61" t="s">
        <v>264</v>
      </c>
      <c r="K78" s="70" t="s">
        <v>265</v>
      </c>
      <c r="L78" s="26">
        <f t="shared" si="3"/>
        <v>1784434672</v>
      </c>
      <c r="M78" s="26">
        <f t="shared" si="2"/>
        <v>356603970</v>
      </c>
      <c r="N78" s="71">
        <v>231902000</v>
      </c>
      <c r="O78" s="71">
        <v>124701970</v>
      </c>
      <c r="P78" s="80">
        <v>1427830702</v>
      </c>
      <c r="Q78" s="71"/>
      <c r="R78" s="29" t="s">
        <v>172</v>
      </c>
      <c r="S78" s="73" t="s">
        <v>173</v>
      </c>
      <c r="T78" s="73"/>
      <c r="U78" s="51" t="s">
        <v>226</v>
      </c>
      <c r="V78" s="76" t="s">
        <v>39</v>
      </c>
      <c r="W78" s="73" t="s">
        <v>40</v>
      </c>
      <c r="X78" s="73" t="s">
        <v>41</v>
      </c>
      <c r="Y78" s="73" t="s">
        <v>267</v>
      </c>
      <c r="Z78" s="75" t="s">
        <v>43</v>
      </c>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row>
    <row r="79" spans="1:57" ht="42.75" customHeight="1" x14ac:dyDescent="0.25">
      <c r="A79" s="17" t="s">
        <v>222</v>
      </c>
      <c r="B79" s="51">
        <v>43231505</v>
      </c>
      <c r="C79" s="61" t="s">
        <v>269</v>
      </c>
      <c r="D79" s="20">
        <v>43868</v>
      </c>
      <c r="E79" s="35" t="s">
        <v>73</v>
      </c>
      <c r="F79" s="35" t="s">
        <v>73</v>
      </c>
      <c r="G79" s="79">
        <v>11</v>
      </c>
      <c r="H79" s="23" t="s">
        <v>32</v>
      </c>
      <c r="I79" s="70" t="s">
        <v>33</v>
      </c>
      <c r="J79" s="61" t="s">
        <v>270</v>
      </c>
      <c r="K79" s="70" t="s">
        <v>271</v>
      </c>
      <c r="L79" s="26">
        <f t="shared" si="3"/>
        <v>96339068</v>
      </c>
      <c r="M79" s="26">
        <f t="shared" si="2"/>
        <v>96339068</v>
      </c>
      <c r="N79" s="81">
        <f>106472000- 10132932</f>
        <v>96339068</v>
      </c>
      <c r="O79" s="71"/>
      <c r="P79" s="71"/>
      <c r="Q79" s="71"/>
      <c r="R79" s="77" t="s">
        <v>36</v>
      </c>
      <c r="S79" s="78" t="s">
        <v>37</v>
      </c>
      <c r="T79" s="73" t="s">
        <v>98</v>
      </c>
      <c r="U79" s="51" t="s">
        <v>226</v>
      </c>
      <c r="V79" s="76" t="s">
        <v>39</v>
      </c>
      <c r="W79" s="73" t="s">
        <v>40</v>
      </c>
      <c r="X79" s="73" t="s">
        <v>41</v>
      </c>
      <c r="Y79" s="73" t="s">
        <v>267</v>
      </c>
      <c r="Z79" s="75" t="s">
        <v>43</v>
      </c>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row>
    <row r="80" spans="1:57" ht="42.75" customHeight="1" x14ac:dyDescent="0.25">
      <c r="A80" s="17" t="s">
        <v>222</v>
      </c>
      <c r="B80" s="51">
        <v>43231505</v>
      </c>
      <c r="C80" s="61" t="s">
        <v>272</v>
      </c>
      <c r="D80" s="20">
        <v>43868</v>
      </c>
      <c r="E80" s="51" t="s">
        <v>73</v>
      </c>
      <c r="F80" s="35" t="s">
        <v>73</v>
      </c>
      <c r="G80" s="79">
        <v>11</v>
      </c>
      <c r="H80" s="23" t="s">
        <v>32</v>
      </c>
      <c r="I80" s="70" t="s">
        <v>33</v>
      </c>
      <c r="J80" s="61" t="s">
        <v>270</v>
      </c>
      <c r="K80" s="70" t="s">
        <v>271</v>
      </c>
      <c r="L80" s="26">
        <f t="shared" si="3"/>
        <v>10132932</v>
      </c>
      <c r="M80" s="26">
        <f t="shared" si="2"/>
        <v>10132932</v>
      </c>
      <c r="N80" s="81">
        <f>106472000-96339068</f>
        <v>10132932</v>
      </c>
      <c r="O80" s="71"/>
      <c r="P80" s="71"/>
      <c r="Q80" s="71"/>
      <c r="R80" s="77" t="s">
        <v>36</v>
      </c>
      <c r="S80" s="78" t="s">
        <v>37</v>
      </c>
      <c r="T80" s="73" t="s">
        <v>219</v>
      </c>
      <c r="U80" s="51" t="s">
        <v>226</v>
      </c>
      <c r="V80" s="76" t="s">
        <v>39</v>
      </c>
      <c r="W80" s="73" t="s">
        <v>40</v>
      </c>
      <c r="X80" s="73" t="s">
        <v>41</v>
      </c>
      <c r="Y80" s="73" t="s">
        <v>267</v>
      </c>
      <c r="Z80" s="75" t="s">
        <v>43</v>
      </c>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row>
    <row r="81" spans="1:57" ht="99.75" customHeight="1" x14ac:dyDescent="0.25">
      <c r="A81" s="17" t="s">
        <v>222</v>
      </c>
      <c r="B81" s="51">
        <v>80111500</v>
      </c>
      <c r="C81" s="61" t="s">
        <v>273</v>
      </c>
      <c r="D81" s="20">
        <v>43861</v>
      </c>
      <c r="E81" s="21" t="s">
        <v>73</v>
      </c>
      <c r="F81" s="21" t="s">
        <v>73</v>
      </c>
      <c r="G81" s="79">
        <v>10</v>
      </c>
      <c r="H81" s="23" t="s">
        <v>32</v>
      </c>
      <c r="I81" s="70" t="s">
        <v>33</v>
      </c>
      <c r="J81" s="61" t="s">
        <v>274</v>
      </c>
      <c r="K81" s="70" t="s">
        <v>35</v>
      </c>
      <c r="L81" s="26">
        <f>+M81+O79+Q81</f>
        <v>107917333</v>
      </c>
      <c r="M81" s="26">
        <f t="shared" si="2"/>
        <v>107917333</v>
      </c>
      <c r="N81" s="71">
        <f>114400000-6482667</f>
        <v>107917333</v>
      </c>
      <c r="O81" s="71"/>
      <c r="P81" s="38"/>
      <c r="Q81" s="71"/>
      <c r="R81" s="77" t="s">
        <v>36</v>
      </c>
      <c r="S81" s="78" t="s">
        <v>37</v>
      </c>
      <c r="T81" s="73" t="s">
        <v>98</v>
      </c>
      <c r="U81" s="51" t="s">
        <v>226</v>
      </c>
      <c r="V81" s="76" t="s">
        <v>39</v>
      </c>
      <c r="W81" s="73" t="s">
        <v>40</v>
      </c>
      <c r="X81" s="73" t="s">
        <v>41</v>
      </c>
      <c r="Y81" s="73" t="s">
        <v>275</v>
      </c>
      <c r="Z81" s="75" t="s">
        <v>43</v>
      </c>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row>
    <row r="82" spans="1:57" ht="99.75" customHeight="1" x14ac:dyDescent="0.25">
      <c r="A82" s="17" t="s">
        <v>222</v>
      </c>
      <c r="B82" s="51">
        <v>80111501</v>
      </c>
      <c r="C82" s="61" t="s">
        <v>276</v>
      </c>
      <c r="D82" s="20">
        <v>43862</v>
      </c>
      <c r="E82" s="21" t="s">
        <v>73</v>
      </c>
      <c r="F82" s="21" t="s">
        <v>73</v>
      </c>
      <c r="G82" s="79">
        <v>11</v>
      </c>
      <c r="H82" s="23" t="s">
        <v>32</v>
      </c>
      <c r="I82" s="70" t="s">
        <v>33</v>
      </c>
      <c r="J82" s="61" t="s">
        <v>274</v>
      </c>
      <c r="K82" s="70" t="s">
        <v>108</v>
      </c>
      <c r="L82" s="26">
        <f>+M82+O80+Q82</f>
        <v>6482667</v>
      </c>
      <c r="M82" s="26">
        <f t="shared" si="2"/>
        <v>6482667</v>
      </c>
      <c r="N82" s="71">
        <f>114400000-107917333</f>
        <v>6482667</v>
      </c>
      <c r="O82" s="71"/>
      <c r="P82" s="38"/>
      <c r="Q82" s="71"/>
      <c r="R82" s="77" t="s">
        <v>36</v>
      </c>
      <c r="S82" s="78" t="s">
        <v>37</v>
      </c>
      <c r="T82" s="73" t="s">
        <v>219</v>
      </c>
      <c r="U82" s="51" t="s">
        <v>226</v>
      </c>
      <c r="V82" s="76" t="s">
        <v>39</v>
      </c>
      <c r="W82" s="73" t="s">
        <v>40</v>
      </c>
      <c r="X82" s="73" t="s">
        <v>41</v>
      </c>
      <c r="Y82" s="73" t="s">
        <v>277</v>
      </c>
      <c r="Z82" s="75" t="s">
        <v>43</v>
      </c>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row>
    <row r="83" spans="1:57" ht="42.75" customHeight="1" x14ac:dyDescent="0.25">
      <c r="A83" s="17" t="s">
        <v>278</v>
      </c>
      <c r="B83" s="18">
        <v>43233201</v>
      </c>
      <c r="C83" s="19" t="s">
        <v>279</v>
      </c>
      <c r="D83" s="20">
        <v>43921</v>
      </c>
      <c r="E83" s="29" t="s">
        <v>64</v>
      </c>
      <c r="F83" s="29" t="s">
        <v>50</v>
      </c>
      <c r="G83" s="79">
        <v>7</v>
      </c>
      <c r="H83" s="82" t="s">
        <v>32</v>
      </c>
      <c r="I83" s="24" t="s">
        <v>200</v>
      </c>
      <c r="J83" s="24" t="s">
        <v>280</v>
      </c>
      <c r="K83" s="46" t="s">
        <v>281</v>
      </c>
      <c r="L83" s="26">
        <f t="shared" si="3"/>
        <v>4217500</v>
      </c>
      <c r="M83" s="26">
        <f t="shared" si="2"/>
        <v>4217500</v>
      </c>
      <c r="N83" s="26">
        <v>4217500</v>
      </c>
      <c r="O83" s="26">
        <v>0</v>
      </c>
      <c r="P83" s="26"/>
      <c r="Q83" s="26"/>
      <c r="R83" s="29" t="s">
        <v>36</v>
      </c>
      <c r="S83" s="29" t="s">
        <v>37</v>
      </c>
      <c r="T83" s="29"/>
      <c r="U83" s="29" t="s">
        <v>282</v>
      </c>
      <c r="V83" s="29" t="s">
        <v>165</v>
      </c>
      <c r="W83" s="29" t="s">
        <v>40</v>
      </c>
      <c r="X83" s="29" t="s">
        <v>41</v>
      </c>
      <c r="Y83" s="30" t="s">
        <v>166</v>
      </c>
      <c r="Z83" s="83" t="s">
        <v>43</v>
      </c>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row>
    <row r="84" spans="1:57" ht="71.25" customHeight="1" x14ac:dyDescent="0.25">
      <c r="A84" s="17" t="s">
        <v>278</v>
      </c>
      <c r="B84" s="29">
        <v>80141628</v>
      </c>
      <c r="C84" s="121" t="s">
        <v>283</v>
      </c>
      <c r="D84" s="20">
        <v>43830</v>
      </c>
      <c r="E84" s="29" t="s">
        <v>146</v>
      </c>
      <c r="F84" s="29" t="s">
        <v>146</v>
      </c>
      <c r="G84" s="122">
        <v>144</v>
      </c>
      <c r="H84" s="23" t="s">
        <v>32</v>
      </c>
      <c r="I84" s="24" t="s">
        <v>284</v>
      </c>
      <c r="J84" s="24" t="s">
        <v>285</v>
      </c>
      <c r="K84" s="123" t="s">
        <v>286</v>
      </c>
      <c r="L84" s="26">
        <f t="shared" si="3"/>
        <v>0</v>
      </c>
      <c r="M84" s="26">
        <f t="shared" si="2"/>
        <v>0</v>
      </c>
      <c r="N84" s="27">
        <v>0</v>
      </c>
      <c r="O84" s="26">
        <v>0</v>
      </c>
      <c r="P84" s="26"/>
      <c r="Q84" s="26"/>
      <c r="R84" s="29" t="s">
        <v>36</v>
      </c>
      <c r="S84" s="29" t="s">
        <v>37</v>
      </c>
      <c r="T84" s="29" t="s">
        <v>48</v>
      </c>
      <c r="U84" s="29" t="s">
        <v>282</v>
      </c>
      <c r="V84" s="29" t="s">
        <v>165</v>
      </c>
      <c r="W84" s="29" t="s">
        <v>40</v>
      </c>
      <c r="X84" s="29" t="s">
        <v>41</v>
      </c>
      <c r="Y84" s="30" t="s">
        <v>166</v>
      </c>
      <c r="Z84" s="83" t="s">
        <v>43</v>
      </c>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row>
    <row r="85" spans="1:57" ht="99.75" customHeight="1" x14ac:dyDescent="0.25">
      <c r="A85" s="17" t="s">
        <v>278</v>
      </c>
      <c r="B85" s="18">
        <v>80141628</v>
      </c>
      <c r="C85" s="19" t="s">
        <v>287</v>
      </c>
      <c r="D85" s="20">
        <v>44106</v>
      </c>
      <c r="E85" s="21" t="s">
        <v>252</v>
      </c>
      <c r="F85" s="21" t="s">
        <v>252</v>
      </c>
      <c r="G85" s="37">
        <v>36.5</v>
      </c>
      <c r="H85" s="23" t="s">
        <v>32</v>
      </c>
      <c r="I85" s="24" t="s">
        <v>46</v>
      </c>
      <c r="J85" s="24" t="s">
        <v>288</v>
      </c>
      <c r="K85" s="46" t="s">
        <v>35</v>
      </c>
      <c r="L85" s="26">
        <f t="shared" si="3"/>
        <v>507351873</v>
      </c>
      <c r="M85" s="26">
        <f t="shared" si="2"/>
        <v>245282767</v>
      </c>
      <c r="N85" s="26">
        <f>255749105-10466338</f>
        <v>245282767</v>
      </c>
      <c r="O85" s="26">
        <v>0</v>
      </c>
      <c r="P85" s="26">
        <v>262069106</v>
      </c>
      <c r="Q85" s="26"/>
      <c r="R85" s="29" t="s">
        <v>172</v>
      </c>
      <c r="S85" s="29" t="s">
        <v>173</v>
      </c>
      <c r="T85" s="29" t="s">
        <v>48</v>
      </c>
      <c r="U85" s="29" t="s">
        <v>282</v>
      </c>
      <c r="V85" s="29" t="s">
        <v>165</v>
      </c>
      <c r="W85" s="29" t="s">
        <v>40</v>
      </c>
      <c r="X85" s="29" t="s">
        <v>41</v>
      </c>
      <c r="Y85" s="30" t="s">
        <v>166</v>
      </c>
      <c r="Z85" s="41" t="s">
        <v>43</v>
      </c>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row>
    <row r="86" spans="1:57" ht="128.25" customHeight="1" x14ac:dyDescent="0.25">
      <c r="A86" s="17" t="s">
        <v>278</v>
      </c>
      <c r="B86" s="18" t="s">
        <v>289</v>
      </c>
      <c r="C86" s="19" t="s">
        <v>290</v>
      </c>
      <c r="D86" s="20"/>
      <c r="E86" s="21"/>
      <c r="F86" s="21"/>
      <c r="G86" s="22">
        <v>33</v>
      </c>
      <c r="H86" s="23" t="s">
        <v>32</v>
      </c>
      <c r="I86" s="19" t="s">
        <v>291</v>
      </c>
      <c r="J86" s="29" t="s">
        <v>292</v>
      </c>
      <c r="K86" s="24" t="s">
        <v>35</v>
      </c>
      <c r="L86" s="26">
        <f t="shared" si="3"/>
        <v>14536796</v>
      </c>
      <c r="M86" s="26">
        <f t="shared" si="2"/>
        <v>5398272</v>
      </c>
      <c r="N86" s="26">
        <v>749760</v>
      </c>
      <c r="O86" s="26">
        <v>4648512</v>
      </c>
      <c r="P86" s="26">
        <v>5667840</v>
      </c>
      <c r="Q86" s="26">
        <v>3470684</v>
      </c>
      <c r="R86" s="29" t="s">
        <v>172</v>
      </c>
      <c r="S86" s="29" t="s">
        <v>173</v>
      </c>
      <c r="T86" s="29"/>
      <c r="U86" s="29" t="s">
        <v>293</v>
      </c>
      <c r="V86" s="29" t="s">
        <v>165</v>
      </c>
      <c r="W86" s="29" t="s">
        <v>40</v>
      </c>
      <c r="X86" s="29" t="s">
        <v>41</v>
      </c>
      <c r="Y86" s="30" t="s">
        <v>166</v>
      </c>
      <c r="Z86" s="41" t="s">
        <v>43</v>
      </c>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row>
    <row r="87" spans="1:57" ht="99.75" customHeight="1" x14ac:dyDescent="0.25">
      <c r="A87" s="17" t="s">
        <v>294</v>
      </c>
      <c r="B87" s="18">
        <v>81131504</v>
      </c>
      <c r="C87" s="19" t="s">
        <v>295</v>
      </c>
      <c r="D87" s="20">
        <v>43921</v>
      </c>
      <c r="E87" s="21" t="s">
        <v>50</v>
      </c>
      <c r="F87" s="84" t="s">
        <v>50</v>
      </c>
      <c r="G87" s="22">
        <v>5</v>
      </c>
      <c r="H87" s="23" t="s">
        <v>32</v>
      </c>
      <c r="I87" s="19" t="s">
        <v>65</v>
      </c>
      <c r="J87" s="29" t="s">
        <v>296</v>
      </c>
      <c r="K87" s="24" t="s">
        <v>35</v>
      </c>
      <c r="L87" s="26">
        <f t="shared" si="3"/>
        <v>115806040</v>
      </c>
      <c r="M87" s="26">
        <f t="shared" si="2"/>
        <v>115806040</v>
      </c>
      <c r="N87" s="26">
        <v>115806040</v>
      </c>
      <c r="O87" s="26">
        <v>0</v>
      </c>
      <c r="P87" s="26"/>
      <c r="Q87" s="26"/>
      <c r="R87" s="29" t="s">
        <v>36</v>
      </c>
      <c r="S87" s="29" t="s">
        <v>37</v>
      </c>
      <c r="T87" s="29"/>
      <c r="U87" s="29" t="s">
        <v>297</v>
      </c>
      <c r="V87" s="29" t="s">
        <v>165</v>
      </c>
      <c r="W87" s="29" t="s">
        <v>40</v>
      </c>
      <c r="X87" s="29" t="s">
        <v>41</v>
      </c>
      <c r="Y87" s="30" t="s">
        <v>42</v>
      </c>
      <c r="Z87" s="41" t="s">
        <v>43</v>
      </c>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row>
    <row r="88" spans="1:57" ht="71.25" customHeight="1" x14ac:dyDescent="0.25">
      <c r="A88" s="17" t="s">
        <v>294</v>
      </c>
      <c r="B88" s="18" t="s">
        <v>298</v>
      </c>
      <c r="C88" s="19" t="s">
        <v>299</v>
      </c>
      <c r="D88" s="20">
        <v>43889</v>
      </c>
      <c r="E88" s="29" t="s">
        <v>63</v>
      </c>
      <c r="F88" s="35" t="s">
        <v>50</v>
      </c>
      <c r="G88" s="37">
        <v>8</v>
      </c>
      <c r="H88" s="29" t="s">
        <v>32</v>
      </c>
      <c r="I88" s="19" t="s">
        <v>75</v>
      </c>
      <c r="J88" s="29" t="s">
        <v>300</v>
      </c>
      <c r="K88" s="24" t="s">
        <v>35</v>
      </c>
      <c r="L88" s="26">
        <f t="shared" si="3"/>
        <v>14000000</v>
      </c>
      <c r="M88" s="26">
        <f t="shared" si="2"/>
        <v>14000000</v>
      </c>
      <c r="N88" s="26">
        <v>14000000</v>
      </c>
      <c r="O88" s="26">
        <v>0</v>
      </c>
      <c r="P88" s="26"/>
      <c r="Q88" s="26"/>
      <c r="R88" s="29" t="s">
        <v>36</v>
      </c>
      <c r="S88" s="29" t="s">
        <v>37</v>
      </c>
      <c r="T88" s="29" t="s">
        <v>67</v>
      </c>
      <c r="U88" s="29" t="s">
        <v>297</v>
      </c>
      <c r="V88" s="29" t="s">
        <v>165</v>
      </c>
      <c r="W88" s="29" t="s">
        <v>40</v>
      </c>
      <c r="X88" s="29" t="s">
        <v>41</v>
      </c>
      <c r="Y88" s="30" t="s">
        <v>42</v>
      </c>
      <c r="Z88" s="41" t="s">
        <v>43</v>
      </c>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row>
    <row r="89" spans="1:57" ht="42.75" customHeight="1" x14ac:dyDescent="0.25">
      <c r="A89" s="17" t="s">
        <v>294</v>
      </c>
      <c r="B89" s="18">
        <v>83111507</v>
      </c>
      <c r="C89" s="19" t="s">
        <v>301</v>
      </c>
      <c r="D89" s="20">
        <v>43889</v>
      </c>
      <c r="E89" s="21" t="s">
        <v>63</v>
      </c>
      <c r="F89" s="21" t="s">
        <v>64</v>
      </c>
      <c r="G89" s="37">
        <v>12</v>
      </c>
      <c r="H89" s="23" t="s">
        <v>32</v>
      </c>
      <c r="I89" s="24" t="s">
        <v>46</v>
      </c>
      <c r="J89" s="24" t="s">
        <v>302</v>
      </c>
      <c r="K89" s="46" t="s">
        <v>35</v>
      </c>
      <c r="L89" s="26">
        <f t="shared" si="3"/>
        <v>176278662</v>
      </c>
      <c r="M89" s="26">
        <f t="shared" si="2"/>
        <v>176278662</v>
      </c>
      <c r="N89" s="124">
        <f>163869848+2740320+9668494</f>
        <v>176278662</v>
      </c>
      <c r="O89" s="26">
        <v>0</v>
      </c>
      <c r="P89" s="26"/>
      <c r="Q89" s="26"/>
      <c r="R89" s="29" t="s">
        <v>36</v>
      </c>
      <c r="S89" s="29" t="s">
        <v>37</v>
      </c>
      <c r="T89" s="29" t="s">
        <v>48</v>
      </c>
      <c r="U89" s="29" t="s">
        <v>297</v>
      </c>
      <c r="V89" s="29" t="s">
        <v>165</v>
      </c>
      <c r="W89" s="29" t="s">
        <v>40</v>
      </c>
      <c r="X89" s="29" t="s">
        <v>41</v>
      </c>
      <c r="Y89" s="30" t="s">
        <v>42</v>
      </c>
      <c r="Z89" s="41" t="s">
        <v>43</v>
      </c>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row>
    <row r="90" spans="1:57" ht="42.75" customHeight="1" x14ac:dyDescent="0.25">
      <c r="A90" s="17" t="s">
        <v>294</v>
      </c>
      <c r="B90" s="18">
        <v>83111508</v>
      </c>
      <c r="C90" s="19" t="s">
        <v>303</v>
      </c>
      <c r="D90" s="20">
        <v>43951</v>
      </c>
      <c r="E90" s="21" t="s">
        <v>50</v>
      </c>
      <c r="F90" s="21" t="s">
        <v>50</v>
      </c>
      <c r="G90" s="37">
        <v>11</v>
      </c>
      <c r="H90" s="23" t="s">
        <v>32</v>
      </c>
      <c r="I90" s="24" t="s">
        <v>168</v>
      </c>
      <c r="J90" s="24" t="s">
        <v>302</v>
      </c>
      <c r="K90" s="46" t="s">
        <v>108</v>
      </c>
      <c r="L90" s="26">
        <f t="shared" si="3"/>
        <v>494512396</v>
      </c>
      <c r="M90" s="26">
        <f t="shared" si="2"/>
        <v>308096511</v>
      </c>
      <c r="N90" s="26">
        <v>308096511</v>
      </c>
      <c r="O90" s="26"/>
      <c r="P90" s="26">
        <f>186415885</f>
        <v>186415885</v>
      </c>
      <c r="Q90" s="26"/>
      <c r="R90" s="29" t="s">
        <v>266</v>
      </c>
      <c r="S90" s="29" t="s">
        <v>173</v>
      </c>
      <c r="T90" s="29" t="s">
        <v>67</v>
      </c>
      <c r="U90" s="29" t="s">
        <v>297</v>
      </c>
      <c r="V90" s="29" t="s">
        <v>165</v>
      </c>
      <c r="W90" s="29" t="s">
        <v>40</v>
      </c>
      <c r="X90" s="29" t="s">
        <v>41</v>
      </c>
      <c r="Y90" s="30" t="s">
        <v>110</v>
      </c>
      <c r="Z90" s="41" t="s">
        <v>43</v>
      </c>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row>
    <row r="91" spans="1:57" ht="43.5" customHeight="1" x14ac:dyDescent="0.25">
      <c r="A91" s="17" t="s">
        <v>294</v>
      </c>
      <c r="B91" s="18" t="s">
        <v>304</v>
      </c>
      <c r="C91" s="19" t="s">
        <v>299</v>
      </c>
      <c r="D91" s="20">
        <v>43889</v>
      </c>
      <c r="E91" s="29" t="s">
        <v>63</v>
      </c>
      <c r="F91" s="35" t="s">
        <v>50</v>
      </c>
      <c r="G91" s="37">
        <v>8</v>
      </c>
      <c r="H91" s="29" t="s">
        <v>32</v>
      </c>
      <c r="I91" s="19" t="s">
        <v>75</v>
      </c>
      <c r="J91" s="29" t="s">
        <v>305</v>
      </c>
      <c r="K91" s="24" t="s">
        <v>35</v>
      </c>
      <c r="L91" s="26">
        <f t="shared" si="3"/>
        <v>21218000</v>
      </c>
      <c r="M91" s="26">
        <f t="shared" si="2"/>
        <v>21218000</v>
      </c>
      <c r="N91" s="26">
        <v>21218000</v>
      </c>
      <c r="O91" s="26" t="s">
        <v>109</v>
      </c>
      <c r="P91" s="26"/>
      <c r="Q91" s="26"/>
      <c r="R91" s="29" t="s">
        <v>36</v>
      </c>
      <c r="S91" s="29" t="s">
        <v>37</v>
      </c>
      <c r="T91" s="29" t="s">
        <v>67</v>
      </c>
      <c r="U91" s="29" t="s">
        <v>297</v>
      </c>
      <c r="V91" s="29" t="s">
        <v>165</v>
      </c>
      <c r="W91" s="29" t="s">
        <v>40</v>
      </c>
      <c r="X91" s="29" t="s">
        <v>41</v>
      </c>
      <c r="Y91" s="30" t="s">
        <v>42</v>
      </c>
      <c r="Z91" s="41" t="s">
        <v>43</v>
      </c>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row>
    <row r="92" spans="1:57" ht="99.75" customHeight="1" x14ac:dyDescent="0.25">
      <c r="A92" s="17" t="s">
        <v>306</v>
      </c>
      <c r="B92" s="18">
        <v>81112501</v>
      </c>
      <c r="C92" s="19" t="s">
        <v>307</v>
      </c>
      <c r="D92" s="20">
        <v>43861</v>
      </c>
      <c r="E92" s="21" t="s">
        <v>73</v>
      </c>
      <c r="F92" s="32" t="s">
        <v>73</v>
      </c>
      <c r="G92" s="22">
        <v>1</v>
      </c>
      <c r="H92" s="23" t="s">
        <v>32</v>
      </c>
      <c r="I92" s="19" t="s">
        <v>33</v>
      </c>
      <c r="J92" s="29" t="s">
        <v>308</v>
      </c>
      <c r="K92" s="24" t="s">
        <v>271</v>
      </c>
      <c r="L92" s="26">
        <f t="shared" si="3"/>
        <v>124398741.31</v>
      </c>
      <c r="M92" s="26">
        <f t="shared" si="2"/>
        <v>124398741.31</v>
      </c>
      <c r="N92" s="26">
        <v>124398741.31</v>
      </c>
      <c r="O92" s="26"/>
      <c r="P92" s="26"/>
      <c r="Q92" s="26"/>
      <c r="R92" s="29" t="s">
        <v>36</v>
      </c>
      <c r="S92" s="29" t="s">
        <v>37</v>
      </c>
      <c r="T92" s="29" t="s">
        <v>67</v>
      </c>
      <c r="U92" s="29" t="s">
        <v>309</v>
      </c>
      <c r="V92" s="29" t="s">
        <v>306</v>
      </c>
      <c r="W92" s="29" t="s">
        <v>40</v>
      </c>
      <c r="X92" s="29" t="s">
        <v>41</v>
      </c>
      <c r="Y92" s="30" t="s">
        <v>166</v>
      </c>
      <c r="Z92" s="41" t="s">
        <v>43</v>
      </c>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row>
    <row r="93" spans="1:57" ht="59.25" customHeight="1" x14ac:dyDescent="0.25">
      <c r="A93" s="17" t="s">
        <v>306</v>
      </c>
      <c r="B93" s="18" t="s">
        <v>310</v>
      </c>
      <c r="C93" s="19" t="s">
        <v>140</v>
      </c>
      <c r="D93" s="20">
        <v>43889</v>
      </c>
      <c r="E93" s="29" t="s">
        <v>63</v>
      </c>
      <c r="F93" s="35" t="s">
        <v>50</v>
      </c>
      <c r="G93" s="37">
        <v>8</v>
      </c>
      <c r="H93" s="29" t="s">
        <v>32</v>
      </c>
      <c r="I93" s="19" t="s">
        <v>75</v>
      </c>
      <c r="J93" s="29" t="s">
        <v>311</v>
      </c>
      <c r="K93" s="24" t="s">
        <v>35</v>
      </c>
      <c r="L93" s="26">
        <f t="shared" si="3"/>
        <v>31827000</v>
      </c>
      <c r="M93" s="26">
        <f t="shared" si="2"/>
        <v>31827000</v>
      </c>
      <c r="N93" s="26">
        <v>31827000</v>
      </c>
      <c r="O93" s="26"/>
      <c r="P93" s="26"/>
      <c r="Q93" s="26"/>
      <c r="R93" s="29" t="s">
        <v>36</v>
      </c>
      <c r="S93" s="29" t="s">
        <v>37</v>
      </c>
      <c r="T93" s="29" t="s">
        <v>67</v>
      </c>
      <c r="U93" s="29" t="s">
        <v>309</v>
      </c>
      <c r="V93" s="29" t="s">
        <v>306</v>
      </c>
      <c r="W93" s="29" t="s">
        <v>40</v>
      </c>
      <c r="X93" s="29" t="s">
        <v>41</v>
      </c>
      <c r="Y93" s="30" t="s">
        <v>166</v>
      </c>
      <c r="Z93" s="41" t="s">
        <v>43</v>
      </c>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row>
    <row r="94" spans="1:57" ht="42.75" customHeight="1" x14ac:dyDescent="0.25">
      <c r="A94" s="17" t="s">
        <v>312</v>
      </c>
      <c r="B94" s="18">
        <v>60105412</v>
      </c>
      <c r="C94" s="19" t="s">
        <v>313</v>
      </c>
      <c r="D94" s="20">
        <v>43921</v>
      </c>
      <c r="E94" s="29" t="s">
        <v>63</v>
      </c>
      <c r="F94" s="32" t="s">
        <v>63</v>
      </c>
      <c r="G94" s="85">
        <v>12</v>
      </c>
      <c r="H94" s="42" t="s">
        <v>32</v>
      </c>
      <c r="I94" s="19" t="s">
        <v>124</v>
      </c>
      <c r="J94" s="29" t="s">
        <v>314</v>
      </c>
      <c r="K94" s="24" t="s">
        <v>35</v>
      </c>
      <c r="L94" s="26">
        <f t="shared" si="3"/>
        <v>17455974480</v>
      </c>
      <c r="M94" s="26">
        <f t="shared" si="2"/>
        <v>17455974480</v>
      </c>
      <c r="N94" s="26" t="s">
        <v>109</v>
      </c>
      <c r="O94" s="26">
        <v>17455974480</v>
      </c>
      <c r="P94" s="26"/>
      <c r="Q94" s="26"/>
      <c r="R94" s="29" t="s">
        <v>36</v>
      </c>
      <c r="S94" s="29" t="s">
        <v>37</v>
      </c>
      <c r="T94" s="29"/>
      <c r="U94" s="29" t="s">
        <v>315</v>
      </c>
      <c r="V94" s="29" t="s">
        <v>165</v>
      </c>
      <c r="W94" s="29" t="s">
        <v>40</v>
      </c>
      <c r="X94" s="29" t="s">
        <v>41</v>
      </c>
      <c r="Y94" s="30" t="s">
        <v>316</v>
      </c>
      <c r="Z94" s="41" t="s">
        <v>43</v>
      </c>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row>
    <row r="95" spans="1:57" ht="114" customHeight="1" x14ac:dyDescent="0.25">
      <c r="A95" s="17" t="s">
        <v>312</v>
      </c>
      <c r="B95" s="18">
        <v>84131501</v>
      </c>
      <c r="C95" s="19" t="s">
        <v>317</v>
      </c>
      <c r="D95" s="33">
        <v>43833</v>
      </c>
      <c r="E95" s="29" t="s">
        <v>146</v>
      </c>
      <c r="F95" s="32" t="s">
        <v>73</v>
      </c>
      <c r="G95" s="85">
        <v>10.5</v>
      </c>
      <c r="H95" s="42" t="s">
        <v>32</v>
      </c>
      <c r="I95" s="19" t="s">
        <v>65</v>
      </c>
      <c r="J95" s="125" t="s">
        <v>318</v>
      </c>
      <c r="K95" s="24" t="s">
        <v>35</v>
      </c>
      <c r="L95" s="26">
        <f t="shared" si="3"/>
        <v>752719920</v>
      </c>
      <c r="M95" s="26">
        <f t="shared" si="2"/>
        <v>752719920</v>
      </c>
      <c r="N95" s="26" t="s">
        <v>109</v>
      </c>
      <c r="O95" s="26">
        <v>752719920</v>
      </c>
      <c r="P95" s="26"/>
      <c r="Q95" s="26"/>
      <c r="R95" s="29" t="s">
        <v>36</v>
      </c>
      <c r="S95" s="29" t="s">
        <v>37</v>
      </c>
      <c r="T95" s="29" t="s">
        <v>98</v>
      </c>
      <c r="U95" s="29" t="s">
        <v>315</v>
      </c>
      <c r="V95" s="29" t="s">
        <v>165</v>
      </c>
      <c r="W95" s="29" t="s">
        <v>40</v>
      </c>
      <c r="X95" s="29" t="s">
        <v>41</v>
      </c>
      <c r="Y95" s="30" t="s">
        <v>316</v>
      </c>
      <c r="Z95" s="41" t="s">
        <v>43</v>
      </c>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row>
    <row r="96" spans="1:57" ht="114" customHeight="1" x14ac:dyDescent="0.25">
      <c r="A96" s="17" t="s">
        <v>312</v>
      </c>
      <c r="B96" s="18">
        <v>84131502</v>
      </c>
      <c r="C96" s="19" t="s">
        <v>319</v>
      </c>
      <c r="D96" s="33"/>
      <c r="E96" s="29"/>
      <c r="F96" s="32"/>
      <c r="G96" s="85"/>
      <c r="H96" s="42"/>
      <c r="I96" s="19"/>
      <c r="J96" s="29" t="s">
        <v>320</v>
      </c>
      <c r="K96" s="24" t="s">
        <v>108</v>
      </c>
      <c r="L96" s="26">
        <f>+M96+P96+Q96</f>
        <v>728459</v>
      </c>
      <c r="M96" s="26">
        <f t="shared" si="2"/>
        <v>728459</v>
      </c>
      <c r="N96" s="26"/>
      <c r="O96" s="47">
        <f>753448379-752719920</f>
        <v>728459</v>
      </c>
      <c r="P96" s="26"/>
      <c r="Q96" s="26"/>
      <c r="R96" s="29" t="s">
        <v>36</v>
      </c>
      <c r="S96" s="29" t="s">
        <v>37</v>
      </c>
      <c r="T96" s="29" t="s">
        <v>219</v>
      </c>
      <c r="U96" s="29" t="s">
        <v>315</v>
      </c>
      <c r="V96" s="29" t="s">
        <v>165</v>
      </c>
      <c r="W96" s="29" t="s">
        <v>40</v>
      </c>
      <c r="X96" s="29" t="s">
        <v>41</v>
      </c>
      <c r="Y96" s="30" t="s">
        <v>321</v>
      </c>
      <c r="Z96" s="41" t="s">
        <v>43</v>
      </c>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row>
    <row r="97" spans="1:57" ht="42.75" customHeight="1" x14ac:dyDescent="0.25">
      <c r="A97" s="17" t="s">
        <v>322</v>
      </c>
      <c r="B97" s="18">
        <v>81112211</v>
      </c>
      <c r="C97" s="19" t="s">
        <v>323</v>
      </c>
      <c r="D97" s="20">
        <v>43903</v>
      </c>
      <c r="E97" s="29" t="s">
        <v>63</v>
      </c>
      <c r="F97" s="32" t="s">
        <v>63</v>
      </c>
      <c r="G97" s="85">
        <v>9</v>
      </c>
      <c r="H97" s="23" t="s">
        <v>32</v>
      </c>
      <c r="I97" s="19" t="s">
        <v>33</v>
      </c>
      <c r="J97" s="29" t="s">
        <v>324</v>
      </c>
      <c r="K97" s="86" t="s">
        <v>325</v>
      </c>
      <c r="L97" s="26">
        <f t="shared" si="3"/>
        <v>64252920</v>
      </c>
      <c r="M97" s="26">
        <f t="shared" si="2"/>
        <v>64252920</v>
      </c>
      <c r="N97" s="26">
        <v>64252920</v>
      </c>
      <c r="O97" s="26">
        <v>0</v>
      </c>
      <c r="P97" s="26"/>
      <c r="Q97" s="26"/>
      <c r="R97" s="29" t="s">
        <v>36</v>
      </c>
      <c r="S97" s="29" t="s">
        <v>37</v>
      </c>
      <c r="T97" s="29" t="s">
        <v>67</v>
      </c>
      <c r="U97" s="29" t="s">
        <v>326</v>
      </c>
      <c r="V97" s="29" t="s">
        <v>165</v>
      </c>
      <c r="W97" s="29" t="s">
        <v>40</v>
      </c>
      <c r="X97" s="29" t="s">
        <v>41</v>
      </c>
      <c r="Y97" s="30" t="s">
        <v>316</v>
      </c>
      <c r="Z97" s="41" t="s">
        <v>43</v>
      </c>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row>
    <row r="98" spans="1:57" ht="38.25" customHeight="1" x14ac:dyDescent="0.25">
      <c r="A98" s="17" t="s">
        <v>322</v>
      </c>
      <c r="B98" s="18" t="s">
        <v>327</v>
      </c>
      <c r="C98" s="19" t="s">
        <v>328</v>
      </c>
      <c r="D98" s="20">
        <v>43903</v>
      </c>
      <c r="E98" s="29" t="s">
        <v>64</v>
      </c>
      <c r="F98" s="21" t="s">
        <v>50</v>
      </c>
      <c r="G98" s="85">
        <v>9</v>
      </c>
      <c r="H98" s="42" t="s">
        <v>32</v>
      </c>
      <c r="I98" s="19" t="s">
        <v>191</v>
      </c>
      <c r="J98" s="29" t="s">
        <v>329</v>
      </c>
      <c r="K98" s="86" t="s">
        <v>330</v>
      </c>
      <c r="L98" s="26">
        <f t="shared" si="3"/>
        <v>120000000</v>
      </c>
      <c r="M98" s="26">
        <f t="shared" si="2"/>
        <v>120000000</v>
      </c>
      <c r="N98" s="26">
        <v>60000000</v>
      </c>
      <c r="O98" s="26">
        <v>60000000</v>
      </c>
      <c r="P98" s="26"/>
      <c r="Q98" s="26"/>
      <c r="R98" s="29" t="s">
        <v>36</v>
      </c>
      <c r="S98" s="29" t="s">
        <v>37</v>
      </c>
      <c r="T98" s="29" t="s">
        <v>67</v>
      </c>
      <c r="U98" s="29" t="s">
        <v>326</v>
      </c>
      <c r="V98" s="29" t="s">
        <v>165</v>
      </c>
      <c r="W98" s="29" t="s">
        <v>40</v>
      </c>
      <c r="X98" s="29" t="s">
        <v>41</v>
      </c>
      <c r="Y98" s="30" t="s">
        <v>316</v>
      </c>
      <c r="Z98" s="41" t="s">
        <v>43</v>
      </c>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row>
    <row r="99" spans="1:57" ht="57" customHeight="1" x14ac:dyDescent="0.25">
      <c r="A99" s="17" t="s">
        <v>322</v>
      </c>
      <c r="B99" s="18">
        <v>44103103</v>
      </c>
      <c r="C99" s="19" t="s">
        <v>331</v>
      </c>
      <c r="D99" s="20">
        <v>43951</v>
      </c>
      <c r="E99" s="21" t="s">
        <v>50</v>
      </c>
      <c r="F99" s="84" t="s">
        <v>31</v>
      </c>
      <c r="G99" s="85" t="s">
        <v>80</v>
      </c>
      <c r="H99" s="42" t="s">
        <v>32</v>
      </c>
      <c r="I99" s="19" t="s">
        <v>168</v>
      </c>
      <c r="J99" s="29" t="s">
        <v>332</v>
      </c>
      <c r="K99" s="86" t="s">
        <v>333</v>
      </c>
      <c r="L99" s="26">
        <f t="shared" si="3"/>
        <v>200000000</v>
      </c>
      <c r="M99" s="26">
        <f t="shared" si="2"/>
        <v>200000000</v>
      </c>
      <c r="N99" s="26">
        <v>140000000</v>
      </c>
      <c r="O99" s="26">
        <v>60000000</v>
      </c>
      <c r="P99" s="26"/>
      <c r="Q99" s="26"/>
      <c r="R99" s="29" t="s">
        <v>36</v>
      </c>
      <c r="S99" s="29" t="s">
        <v>37</v>
      </c>
      <c r="T99" s="29"/>
      <c r="U99" s="29" t="s">
        <v>326</v>
      </c>
      <c r="V99" s="29" t="s">
        <v>165</v>
      </c>
      <c r="W99" s="29" t="s">
        <v>40</v>
      </c>
      <c r="X99" s="29" t="s">
        <v>41</v>
      </c>
      <c r="Y99" s="30" t="s">
        <v>316</v>
      </c>
      <c r="Z99" s="41" t="s">
        <v>43</v>
      </c>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row>
    <row r="100" spans="1:57" ht="71.25" customHeight="1" x14ac:dyDescent="0.25">
      <c r="A100" s="17" t="s">
        <v>334</v>
      </c>
      <c r="B100" s="18" t="s">
        <v>327</v>
      </c>
      <c r="C100" s="19" t="s">
        <v>335</v>
      </c>
      <c r="D100" s="20">
        <v>43889</v>
      </c>
      <c r="E100" s="21" t="s">
        <v>63</v>
      </c>
      <c r="F100" s="84" t="s">
        <v>63</v>
      </c>
      <c r="G100" s="85" t="s">
        <v>80</v>
      </c>
      <c r="H100" s="42" t="s">
        <v>32</v>
      </c>
      <c r="I100" s="19" t="s">
        <v>191</v>
      </c>
      <c r="J100" s="29" t="s">
        <v>336</v>
      </c>
      <c r="K100" s="86" t="s">
        <v>337</v>
      </c>
      <c r="L100" s="26">
        <f>+M100+P100+Q100</f>
        <v>100000000</v>
      </c>
      <c r="M100" s="26">
        <f t="shared" si="2"/>
        <v>100000000</v>
      </c>
      <c r="N100" s="26">
        <v>100000000</v>
      </c>
      <c r="O100" s="26" t="s">
        <v>109</v>
      </c>
      <c r="P100" s="26"/>
      <c r="Q100" s="26"/>
      <c r="R100" s="29" t="s">
        <v>36</v>
      </c>
      <c r="S100" s="29" t="s">
        <v>37</v>
      </c>
      <c r="T100" s="29" t="s">
        <v>67</v>
      </c>
      <c r="U100" s="29" t="s">
        <v>315</v>
      </c>
      <c r="V100" s="29" t="s">
        <v>165</v>
      </c>
      <c r="W100" s="29" t="s">
        <v>40</v>
      </c>
      <c r="X100" s="29" t="s">
        <v>41</v>
      </c>
      <c r="Y100" s="30" t="s">
        <v>316</v>
      </c>
      <c r="Z100" s="41" t="s">
        <v>43</v>
      </c>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row>
    <row r="101" spans="1:57" ht="71.25" customHeight="1" x14ac:dyDescent="0.25">
      <c r="A101" s="17" t="s">
        <v>334</v>
      </c>
      <c r="B101" s="18" t="s">
        <v>327</v>
      </c>
      <c r="C101" s="19" t="s">
        <v>338</v>
      </c>
      <c r="D101" s="20">
        <v>43889</v>
      </c>
      <c r="E101" s="21" t="s">
        <v>63</v>
      </c>
      <c r="F101" s="84" t="s">
        <v>63</v>
      </c>
      <c r="G101" s="85">
        <v>1</v>
      </c>
      <c r="H101" s="42" t="s">
        <v>32</v>
      </c>
      <c r="I101" s="19" t="s">
        <v>200</v>
      </c>
      <c r="J101" s="29" t="s">
        <v>339</v>
      </c>
      <c r="K101" s="86" t="s">
        <v>340</v>
      </c>
      <c r="L101" s="26">
        <f>+M101+P101+Q101</f>
        <v>10000000</v>
      </c>
      <c r="M101" s="26">
        <f t="shared" si="2"/>
        <v>10000000</v>
      </c>
      <c r="N101" s="26">
        <v>10000000</v>
      </c>
      <c r="O101" s="26" t="s">
        <v>109</v>
      </c>
      <c r="P101" s="26"/>
      <c r="Q101" s="26"/>
      <c r="R101" s="29" t="s">
        <v>36</v>
      </c>
      <c r="S101" s="29" t="s">
        <v>37</v>
      </c>
      <c r="T101" s="29" t="s">
        <v>67</v>
      </c>
      <c r="U101" s="29" t="s">
        <v>315</v>
      </c>
      <c r="V101" s="29" t="s">
        <v>165</v>
      </c>
      <c r="W101" s="29" t="s">
        <v>40</v>
      </c>
      <c r="X101" s="29" t="s">
        <v>41</v>
      </c>
      <c r="Y101" s="30" t="s">
        <v>316</v>
      </c>
      <c r="Z101" s="41" t="s">
        <v>43</v>
      </c>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row>
    <row r="102" spans="1:57" ht="42.75" customHeight="1" x14ac:dyDescent="0.25">
      <c r="A102" s="17" t="s">
        <v>334</v>
      </c>
      <c r="B102" s="18" t="s">
        <v>341</v>
      </c>
      <c r="C102" s="19" t="s">
        <v>342</v>
      </c>
      <c r="D102" s="126"/>
      <c r="E102" s="21"/>
      <c r="F102" s="21"/>
      <c r="G102" s="37" t="s">
        <v>80</v>
      </c>
      <c r="H102" s="23" t="s">
        <v>32</v>
      </c>
      <c r="I102" s="24" t="s">
        <v>46</v>
      </c>
      <c r="J102" s="24" t="s">
        <v>343</v>
      </c>
      <c r="K102" s="46" t="s">
        <v>35</v>
      </c>
      <c r="L102" s="26">
        <f t="shared" si="3"/>
        <v>332618904</v>
      </c>
      <c r="M102" s="26">
        <f t="shared" si="2"/>
        <v>332618904</v>
      </c>
      <c r="N102" s="26">
        <v>332618904</v>
      </c>
      <c r="O102" s="26" t="s">
        <v>109</v>
      </c>
      <c r="P102" s="26"/>
      <c r="Q102" s="26"/>
      <c r="R102" s="29" t="s">
        <v>36</v>
      </c>
      <c r="S102" s="29" t="s">
        <v>37</v>
      </c>
      <c r="T102" s="29" t="s">
        <v>48</v>
      </c>
      <c r="U102" s="29" t="s">
        <v>315</v>
      </c>
      <c r="V102" s="29" t="s">
        <v>165</v>
      </c>
      <c r="W102" s="29" t="s">
        <v>40</v>
      </c>
      <c r="X102" s="29" t="s">
        <v>41</v>
      </c>
      <c r="Y102" s="30" t="s">
        <v>316</v>
      </c>
      <c r="Z102" s="41" t="s">
        <v>43</v>
      </c>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row>
    <row r="103" spans="1:57" ht="57" customHeight="1" x14ac:dyDescent="0.25">
      <c r="A103" s="17" t="s">
        <v>334</v>
      </c>
      <c r="B103" s="18" t="s">
        <v>341</v>
      </c>
      <c r="C103" s="19" t="s">
        <v>344</v>
      </c>
      <c r="D103" s="20">
        <v>43955</v>
      </c>
      <c r="E103" s="21" t="s">
        <v>50</v>
      </c>
      <c r="F103" s="84" t="s">
        <v>31</v>
      </c>
      <c r="G103" s="85">
        <v>6</v>
      </c>
      <c r="H103" s="42" t="s">
        <v>32</v>
      </c>
      <c r="I103" s="19" t="s">
        <v>33</v>
      </c>
      <c r="J103" s="29" t="s">
        <v>343</v>
      </c>
      <c r="K103" s="86" t="s">
        <v>35</v>
      </c>
      <c r="L103" s="26">
        <f t="shared" si="3"/>
        <v>1383121646</v>
      </c>
      <c r="M103" s="26">
        <f t="shared" si="2"/>
        <v>330517864</v>
      </c>
      <c r="N103" s="26">
        <v>330517864</v>
      </c>
      <c r="O103" s="26" t="s">
        <v>109</v>
      </c>
      <c r="P103" s="26">
        <v>691219378</v>
      </c>
      <c r="Q103" s="26">
        <v>361384404</v>
      </c>
      <c r="R103" s="55" t="s">
        <v>172</v>
      </c>
      <c r="S103" s="55" t="s">
        <v>173</v>
      </c>
      <c r="T103" s="29"/>
      <c r="U103" s="29" t="s">
        <v>315</v>
      </c>
      <c r="V103" s="29" t="s">
        <v>165</v>
      </c>
      <c r="W103" s="29" t="s">
        <v>40</v>
      </c>
      <c r="X103" s="29" t="s">
        <v>41</v>
      </c>
      <c r="Y103" s="30" t="s">
        <v>316</v>
      </c>
      <c r="Z103" s="41" t="s">
        <v>43</v>
      </c>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row>
    <row r="104" spans="1:57" ht="42.75" customHeight="1" x14ac:dyDescent="0.25">
      <c r="A104" s="17" t="s">
        <v>334</v>
      </c>
      <c r="B104" s="18">
        <v>78102201</v>
      </c>
      <c r="C104" s="19" t="s">
        <v>345</v>
      </c>
      <c r="D104" s="20"/>
      <c r="E104" s="21"/>
      <c r="F104" s="21"/>
      <c r="G104" s="37" t="s">
        <v>80</v>
      </c>
      <c r="H104" s="23" t="s">
        <v>32</v>
      </c>
      <c r="I104" s="24" t="s">
        <v>46</v>
      </c>
      <c r="J104" s="24" t="s">
        <v>346</v>
      </c>
      <c r="K104" s="46" t="s">
        <v>35</v>
      </c>
      <c r="L104" s="26">
        <f t="shared" si="3"/>
        <v>224910000</v>
      </c>
      <c r="M104" s="26">
        <f t="shared" si="2"/>
        <v>224910000</v>
      </c>
      <c r="N104" s="26">
        <v>224910000</v>
      </c>
      <c r="O104" s="26" t="s">
        <v>109</v>
      </c>
      <c r="P104" s="26"/>
      <c r="Q104" s="26"/>
      <c r="R104" s="29" t="s">
        <v>36</v>
      </c>
      <c r="S104" s="29" t="s">
        <v>37</v>
      </c>
      <c r="T104" s="29" t="s">
        <v>48</v>
      </c>
      <c r="U104" s="29" t="s">
        <v>315</v>
      </c>
      <c r="V104" s="29" t="s">
        <v>165</v>
      </c>
      <c r="W104" s="29" t="s">
        <v>40</v>
      </c>
      <c r="X104" s="29" t="s">
        <v>41</v>
      </c>
      <c r="Y104" s="30" t="s">
        <v>316</v>
      </c>
      <c r="Z104" s="41" t="s">
        <v>43</v>
      </c>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row>
    <row r="105" spans="1:57" ht="57" customHeight="1" x14ac:dyDescent="0.25">
      <c r="A105" s="17" t="s">
        <v>334</v>
      </c>
      <c r="B105" s="18">
        <v>78102201</v>
      </c>
      <c r="C105" s="19" t="s">
        <v>347</v>
      </c>
      <c r="D105" s="20">
        <v>43955</v>
      </c>
      <c r="E105" s="21" t="s">
        <v>50</v>
      </c>
      <c r="F105" s="84" t="s">
        <v>31</v>
      </c>
      <c r="G105" s="85">
        <v>6</v>
      </c>
      <c r="H105" s="42" t="s">
        <v>32</v>
      </c>
      <c r="I105" s="19" t="s">
        <v>33</v>
      </c>
      <c r="J105" s="29" t="s">
        <v>346</v>
      </c>
      <c r="K105" s="86" t="s">
        <v>35</v>
      </c>
      <c r="L105" s="26">
        <f t="shared" si="3"/>
        <v>731007822</v>
      </c>
      <c r="M105" s="26">
        <f t="shared" si="2"/>
        <v>173945940</v>
      </c>
      <c r="N105" s="26">
        <v>173945940</v>
      </c>
      <c r="O105" s="26" t="s">
        <v>109</v>
      </c>
      <c r="P105" s="26">
        <v>365286480</v>
      </c>
      <c r="Q105" s="26">
        <v>191775402</v>
      </c>
      <c r="R105" s="55" t="s">
        <v>172</v>
      </c>
      <c r="S105" s="55" t="s">
        <v>173</v>
      </c>
      <c r="T105" s="29"/>
      <c r="U105" s="29" t="s">
        <v>315</v>
      </c>
      <c r="V105" s="29" t="s">
        <v>165</v>
      </c>
      <c r="W105" s="29" t="s">
        <v>40</v>
      </c>
      <c r="X105" s="29" t="s">
        <v>41</v>
      </c>
      <c r="Y105" s="30" t="s">
        <v>316</v>
      </c>
      <c r="Z105" s="41" t="s">
        <v>43</v>
      </c>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row>
    <row r="106" spans="1:57" ht="42.75" customHeight="1" x14ac:dyDescent="0.25">
      <c r="A106" s="17" t="s">
        <v>348</v>
      </c>
      <c r="B106" s="18">
        <v>78181701</v>
      </c>
      <c r="C106" s="19" t="s">
        <v>349</v>
      </c>
      <c r="D106" s="20"/>
      <c r="E106" s="21"/>
      <c r="F106" s="21"/>
      <c r="G106" s="37">
        <v>11</v>
      </c>
      <c r="H106" s="23" t="s">
        <v>32</v>
      </c>
      <c r="I106" s="24" t="s">
        <v>46</v>
      </c>
      <c r="J106" s="24" t="s">
        <v>350</v>
      </c>
      <c r="K106" s="46" t="s">
        <v>351</v>
      </c>
      <c r="L106" s="26">
        <f t="shared" si="3"/>
        <v>71005142</v>
      </c>
      <c r="M106" s="26">
        <f t="shared" si="2"/>
        <v>71005142</v>
      </c>
      <c r="N106" s="26">
        <f>71005142</f>
        <v>71005142</v>
      </c>
      <c r="O106" s="26">
        <v>0</v>
      </c>
      <c r="P106" s="26"/>
      <c r="Q106" s="26"/>
      <c r="R106" s="29" t="s">
        <v>36</v>
      </c>
      <c r="S106" s="29" t="s">
        <v>37</v>
      </c>
      <c r="T106" s="29" t="s">
        <v>48</v>
      </c>
      <c r="U106" s="29" t="s">
        <v>352</v>
      </c>
      <c r="V106" s="29" t="s">
        <v>165</v>
      </c>
      <c r="W106" s="29" t="s">
        <v>40</v>
      </c>
      <c r="X106" s="29" t="s">
        <v>41</v>
      </c>
      <c r="Y106" s="30" t="s">
        <v>166</v>
      </c>
      <c r="Z106" s="41" t="s">
        <v>43</v>
      </c>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row>
    <row r="107" spans="1:57" ht="42.75" customHeight="1" x14ac:dyDescent="0.25">
      <c r="A107" s="17" t="s">
        <v>348</v>
      </c>
      <c r="B107" s="18">
        <v>78181702</v>
      </c>
      <c r="C107" s="19" t="s">
        <v>353</v>
      </c>
      <c r="D107" s="20">
        <v>44078</v>
      </c>
      <c r="E107" s="21" t="s">
        <v>198</v>
      </c>
      <c r="F107" s="21" t="s">
        <v>252</v>
      </c>
      <c r="G107" s="37">
        <v>12</v>
      </c>
      <c r="H107" s="23" t="s">
        <v>32</v>
      </c>
      <c r="I107" s="24" t="s">
        <v>354</v>
      </c>
      <c r="J107" s="24" t="s">
        <v>350</v>
      </c>
      <c r="K107" s="46" t="s">
        <v>355</v>
      </c>
      <c r="L107" s="26">
        <f t="shared" si="3"/>
        <v>149275531.35000002</v>
      </c>
      <c r="M107" s="26">
        <f t="shared" si="2"/>
        <v>7875000</v>
      </c>
      <c r="N107" s="26">
        <f>7875000</f>
        <v>7875000</v>
      </c>
      <c r="O107" s="26"/>
      <c r="P107" s="26">
        <v>87690252</v>
      </c>
      <c r="Q107" s="26">
        <v>53710279.350000009</v>
      </c>
      <c r="R107" s="55" t="s">
        <v>356</v>
      </c>
      <c r="S107" s="55" t="s">
        <v>173</v>
      </c>
      <c r="T107" s="29" t="s">
        <v>48</v>
      </c>
      <c r="U107" s="29" t="s">
        <v>352</v>
      </c>
      <c r="V107" s="29" t="s">
        <v>165</v>
      </c>
      <c r="W107" s="29" t="s">
        <v>40</v>
      </c>
      <c r="X107" s="29" t="s">
        <v>41</v>
      </c>
      <c r="Y107" s="30" t="s">
        <v>232</v>
      </c>
      <c r="Z107" s="41" t="s">
        <v>43</v>
      </c>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row>
    <row r="108" spans="1:57" ht="42" customHeight="1" x14ac:dyDescent="0.25">
      <c r="A108" s="17" t="s">
        <v>348</v>
      </c>
      <c r="B108" s="18" t="s">
        <v>357</v>
      </c>
      <c r="C108" s="19" t="s">
        <v>358</v>
      </c>
      <c r="D108" s="20">
        <v>44078</v>
      </c>
      <c r="E108" s="21" t="s">
        <v>198</v>
      </c>
      <c r="F108" s="21" t="s">
        <v>252</v>
      </c>
      <c r="G108" s="37">
        <v>11</v>
      </c>
      <c r="H108" s="23" t="s">
        <v>32</v>
      </c>
      <c r="I108" s="24" t="s">
        <v>46</v>
      </c>
      <c r="J108" s="24" t="s">
        <v>359</v>
      </c>
      <c r="K108" s="46" t="s">
        <v>360</v>
      </c>
      <c r="L108" s="26">
        <f t="shared" si="3"/>
        <v>182770743</v>
      </c>
      <c r="M108" s="26">
        <f t="shared" si="2"/>
        <v>182770743</v>
      </c>
      <c r="N108" s="26">
        <f>164770743+18000000</f>
        <v>182770743</v>
      </c>
      <c r="O108" s="26">
        <v>0</v>
      </c>
      <c r="P108" s="26"/>
      <c r="Q108" s="26"/>
      <c r="R108" s="29" t="s">
        <v>36</v>
      </c>
      <c r="S108" s="29" t="s">
        <v>37</v>
      </c>
      <c r="T108" s="29" t="s">
        <v>48</v>
      </c>
      <c r="U108" s="29" t="s">
        <v>352</v>
      </c>
      <c r="V108" s="29" t="s">
        <v>165</v>
      </c>
      <c r="W108" s="29" t="s">
        <v>40</v>
      </c>
      <c r="X108" s="29" t="s">
        <v>41</v>
      </c>
      <c r="Y108" s="30" t="s">
        <v>166</v>
      </c>
      <c r="Z108" s="41" t="s">
        <v>43</v>
      </c>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row>
    <row r="109" spans="1:57" ht="42" customHeight="1" x14ac:dyDescent="0.25">
      <c r="A109" s="17" t="s">
        <v>348</v>
      </c>
      <c r="B109" s="18" t="s">
        <v>361</v>
      </c>
      <c r="C109" s="19" t="s">
        <v>362</v>
      </c>
      <c r="D109" s="20">
        <v>44078</v>
      </c>
      <c r="E109" s="21" t="s">
        <v>198</v>
      </c>
      <c r="F109" s="21" t="s">
        <v>252</v>
      </c>
      <c r="G109" s="37">
        <v>12</v>
      </c>
      <c r="H109" s="23" t="s">
        <v>32</v>
      </c>
      <c r="I109" s="24" t="s">
        <v>187</v>
      </c>
      <c r="J109" s="24" t="s">
        <v>359</v>
      </c>
      <c r="K109" s="46" t="s">
        <v>363</v>
      </c>
      <c r="L109" s="26">
        <f t="shared" si="3"/>
        <v>570252544</v>
      </c>
      <c r="M109" s="47">
        <f t="shared" si="2"/>
        <v>18252544</v>
      </c>
      <c r="N109" s="26">
        <v>18252544</v>
      </c>
      <c r="O109" s="26"/>
      <c r="P109" s="26">
        <v>340000000</v>
      </c>
      <c r="Q109" s="26">
        <v>212000000</v>
      </c>
      <c r="R109" s="55" t="s">
        <v>266</v>
      </c>
      <c r="S109" s="55" t="s">
        <v>173</v>
      </c>
      <c r="T109" s="29"/>
      <c r="U109" s="29" t="s">
        <v>352</v>
      </c>
      <c r="V109" s="29" t="s">
        <v>165</v>
      </c>
      <c r="W109" s="29" t="s">
        <v>40</v>
      </c>
      <c r="X109" s="29" t="s">
        <v>41</v>
      </c>
      <c r="Y109" s="30" t="s">
        <v>232</v>
      </c>
      <c r="Z109" s="41" t="s">
        <v>43</v>
      </c>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row>
    <row r="110" spans="1:57" ht="42" customHeight="1" x14ac:dyDescent="0.25">
      <c r="A110" s="17" t="s">
        <v>348</v>
      </c>
      <c r="B110" s="18" t="s">
        <v>364</v>
      </c>
      <c r="C110" s="19" t="s">
        <v>365</v>
      </c>
      <c r="D110" s="20"/>
      <c r="E110" s="21"/>
      <c r="F110" s="21"/>
      <c r="G110" s="37">
        <v>11</v>
      </c>
      <c r="H110" s="23" t="s">
        <v>32</v>
      </c>
      <c r="I110" s="24" t="s">
        <v>46</v>
      </c>
      <c r="J110" s="24" t="s">
        <v>366</v>
      </c>
      <c r="K110" s="46" t="s">
        <v>367</v>
      </c>
      <c r="L110" s="26">
        <f t="shared" si="3"/>
        <v>137765002.3545455</v>
      </c>
      <c r="M110" s="26">
        <f t="shared" si="2"/>
        <v>137765002.3545455</v>
      </c>
      <c r="N110" s="26">
        <f>150915298-13150295.6454545</f>
        <v>137765002.3545455</v>
      </c>
      <c r="O110" s="26">
        <v>0</v>
      </c>
      <c r="P110" s="26"/>
      <c r="Q110" s="26"/>
      <c r="R110" s="29" t="s">
        <v>36</v>
      </c>
      <c r="S110" s="29" t="s">
        <v>37</v>
      </c>
      <c r="T110" s="29" t="s">
        <v>48</v>
      </c>
      <c r="U110" s="29" t="s">
        <v>352</v>
      </c>
      <c r="V110" s="29" t="s">
        <v>165</v>
      </c>
      <c r="W110" s="29" t="s">
        <v>40</v>
      </c>
      <c r="X110" s="29" t="s">
        <v>41</v>
      </c>
      <c r="Y110" s="30" t="s">
        <v>166</v>
      </c>
      <c r="Z110" s="41" t="s">
        <v>43</v>
      </c>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row>
    <row r="111" spans="1:57" ht="42" customHeight="1" x14ac:dyDescent="0.25">
      <c r="A111" s="17" t="s">
        <v>348</v>
      </c>
      <c r="B111" s="18" t="s">
        <v>368</v>
      </c>
      <c r="C111" s="19" t="s">
        <v>369</v>
      </c>
      <c r="D111" s="20">
        <v>44078</v>
      </c>
      <c r="E111" s="21" t="s">
        <v>156</v>
      </c>
      <c r="F111" s="21" t="s">
        <v>156</v>
      </c>
      <c r="G111" s="37">
        <v>1</v>
      </c>
      <c r="H111" s="23" t="s">
        <v>32</v>
      </c>
      <c r="I111" s="24" t="s">
        <v>187</v>
      </c>
      <c r="J111" s="24" t="s">
        <v>370</v>
      </c>
      <c r="K111" s="46" t="s">
        <v>367</v>
      </c>
      <c r="L111" s="26">
        <f>+M111+P111+Q111</f>
        <v>258245890.2954545</v>
      </c>
      <c r="M111" s="26">
        <f t="shared" si="2"/>
        <v>13150295.6454545</v>
      </c>
      <c r="N111" s="47">
        <v>13150295.6454545</v>
      </c>
      <c r="O111" s="26"/>
      <c r="P111" s="26">
        <v>151997268</v>
      </c>
      <c r="Q111" s="26">
        <v>93098326.650000006</v>
      </c>
      <c r="R111" s="55" t="s">
        <v>266</v>
      </c>
      <c r="S111" s="55" t="s">
        <v>173</v>
      </c>
      <c r="T111" s="29" t="s">
        <v>48</v>
      </c>
      <c r="U111" s="29" t="s">
        <v>352</v>
      </c>
      <c r="V111" s="29" t="s">
        <v>165</v>
      </c>
      <c r="W111" s="29" t="s">
        <v>40</v>
      </c>
      <c r="X111" s="29" t="s">
        <v>41</v>
      </c>
      <c r="Y111" s="30" t="s">
        <v>232</v>
      </c>
      <c r="Z111" s="41" t="s">
        <v>43</v>
      </c>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row>
    <row r="112" spans="1:57" ht="57" customHeight="1" x14ac:dyDescent="0.25">
      <c r="A112" s="17" t="s">
        <v>348</v>
      </c>
      <c r="B112" s="18" t="s">
        <v>371</v>
      </c>
      <c r="C112" s="19" t="s">
        <v>372</v>
      </c>
      <c r="D112" s="20">
        <v>44022</v>
      </c>
      <c r="E112" s="21" t="s">
        <v>156</v>
      </c>
      <c r="F112" s="21" t="s">
        <v>198</v>
      </c>
      <c r="G112" s="37">
        <v>10</v>
      </c>
      <c r="H112" s="23" t="s">
        <v>32</v>
      </c>
      <c r="I112" s="24" t="s">
        <v>46</v>
      </c>
      <c r="J112" s="24" t="s">
        <v>373</v>
      </c>
      <c r="K112" s="46" t="s">
        <v>374</v>
      </c>
      <c r="L112" s="26">
        <f t="shared" si="3"/>
        <v>592087223</v>
      </c>
      <c r="M112" s="26">
        <f t="shared" si="2"/>
        <v>592087223</v>
      </c>
      <c r="N112" s="26">
        <v>498653777</v>
      </c>
      <c r="O112" s="26">
        <v>93433446</v>
      </c>
      <c r="P112" s="26"/>
      <c r="Q112" s="26"/>
      <c r="R112" s="29" t="s">
        <v>36</v>
      </c>
      <c r="S112" s="29" t="s">
        <v>37</v>
      </c>
      <c r="T112" s="29" t="s">
        <v>48</v>
      </c>
      <c r="U112" s="29" t="s">
        <v>352</v>
      </c>
      <c r="V112" s="29" t="s">
        <v>165</v>
      </c>
      <c r="W112" s="29" t="s">
        <v>40</v>
      </c>
      <c r="X112" s="29" t="s">
        <v>41</v>
      </c>
      <c r="Y112" s="30" t="s">
        <v>166</v>
      </c>
      <c r="Z112" s="41" t="s">
        <v>43</v>
      </c>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row>
    <row r="113" spans="1:57" ht="42.75" customHeight="1" x14ac:dyDescent="0.25">
      <c r="A113" s="17" t="s">
        <v>348</v>
      </c>
      <c r="B113" s="86" t="s">
        <v>371</v>
      </c>
      <c r="C113" s="87" t="s">
        <v>375</v>
      </c>
      <c r="D113" s="20">
        <v>44022</v>
      </c>
      <c r="E113" s="51" t="s">
        <v>156</v>
      </c>
      <c r="F113" s="35" t="s">
        <v>198</v>
      </c>
      <c r="G113" s="30">
        <v>2</v>
      </c>
      <c r="H113" s="86" t="s">
        <v>32</v>
      </c>
      <c r="I113" s="88" t="s">
        <v>124</v>
      </c>
      <c r="J113" s="86" t="s">
        <v>373</v>
      </c>
      <c r="K113" s="89" t="s">
        <v>374</v>
      </c>
      <c r="L113" s="26">
        <f t="shared" si="3"/>
        <v>1890177030</v>
      </c>
      <c r="M113" s="26">
        <f t="shared" si="2"/>
        <v>89047431</v>
      </c>
      <c r="N113" s="26">
        <f>117301777-50233599</f>
        <v>67068178</v>
      </c>
      <c r="O113" s="26">
        <v>21979253</v>
      </c>
      <c r="P113" s="26">
        <v>1116979596</v>
      </c>
      <c r="Q113" s="26">
        <v>684150003</v>
      </c>
      <c r="R113" s="29" t="s">
        <v>266</v>
      </c>
      <c r="S113" s="55" t="s">
        <v>173</v>
      </c>
      <c r="T113" s="29"/>
      <c r="U113" s="29" t="s">
        <v>352</v>
      </c>
      <c r="V113" s="29" t="s">
        <v>165</v>
      </c>
      <c r="W113" s="29" t="s">
        <v>40</v>
      </c>
      <c r="X113" s="29" t="s">
        <v>41</v>
      </c>
      <c r="Y113" s="30" t="s">
        <v>166</v>
      </c>
      <c r="Z113" s="90" t="s">
        <v>43</v>
      </c>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row>
    <row r="114" spans="1:57" ht="71.25" customHeight="1" x14ac:dyDescent="0.25">
      <c r="A114" s="17" t="s">
        <v>348</v>
      </c>
      <c r="B114" s="18" t="s">
        <v>371</v>
      </c>
      <c r="C114" s="19" t="s">
        <v>376</v>
      </c>
      <c r="D114" s="20">
        <v>44071</v>
      </c>
      <c r="E114" s="21" t="s">
        <v>156</v>
      </c>
      <c r="F114" s="21" t="s">
        <v>252</v>
      </c>
      <c r="G114" s="37">
        <v>10.5</v>
      </c>
      <c r="H114" s="23" t="s">
        <v>32</v>
      </c>
      <c r="I114" s="24" t="s">
        <v>46</v>
      </c>
      <c r="J114" s="24" t="s">
        <v>373</v>
      </c>
      <c r="K114" s="46" t="s">
        <v>35</v>
      </c>
      <c r="L114" s="26">
        <f t="shared" si="3"/>
        <v>1209406792.7537501</v>
      </c>
      <c r="M114" s="26">
        <f t="shared" si="2"/>
        <v>1209406792.7537501</v>
      </c>
      <c r="N114" s="26">
        <v>1141899414.7537501</v>
      </c>
      <c r="O114" s="26">
        <v>67507378</v>
      </c>
      <c r="P114" s="26"/>
      <c r="Q114" s="26"/>
      <c r="R114" s="29" t="s">
        <v>36</v>
      </c>
      <c r="S114" s="29" t="s">
        <v>37</v>
      </c>
      <c r="T114" s="29" t="s">
        <v>48</v>
      </c>
      <c r="U114" s="29" t="s">
        <v>352</v>
      </c>
      <c r="V114" s="29" t="s">
        <v>165</v>
      </c>
      <c r="W114" s="29" t="s">
        <v>40</v>
      </c>
      <c r="X114" s="29" t="s">
        <v>41</v>
      </c>
      <c r="Y114" s="30" t="s">
        <v>166</v>
      </c>
      <c r="Z114" s="41" t="s">
        <v>43</v>
      </c>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row>
    <row r="115" spans="1:57" ht="111" customHeight="1" x14ac:dyDescent="0.25">
      <c r="A115" s="17" t="s">
        <v>348</v>
      </c>
      <c r="B115" s="86" t="s">
        <v>371</v>
      </c>
      <c r="C115" s="87" t="s">
        <v>377</v>
      </c>
      <c r="D115" s="20">
        <v>44104</v>
      </c>
      <c r="E115" s="51" t="s">
        <v>156</v>
      </c>
      <c r="F115" s="35" t="s">
        <v>198</v>
      </c>
      <c r="G115" s="30">
        <v>45</v>
      </c>
      <c r="H115" s="23" t="s">
        <v>175</v>
      </c>
      <c r="I115" s="88" t="s">
        <v>124</v>
      </c>
      <c r="J115" s="86" t="s">
        <v>373</v>
      </c>
      <c r="K115" s="91" t="s">
        <v>35</v>
      </c>
      <c r="L115" s="26">
        <f t="shared" si="3"/>
        <v>3005344341</v>
      </c>
      <c r="M115" s="26">
        <f t="shared" si="2"/>
        <v>11794774</v>
      </c>
      <c r="N115" s="47">
        <f>200389918.53587-200389918.53587</f>
        <v>0</v>
      </c>
      <c r="O115" s="26">
        <v>11794774</v>
      </c>
      <c r="P115" s="26">
        <v>1835730072</v>
      </c>
      <c r="Q115" s="26">
        <v>1157819495</v>
      </c>
      <c r="R115" s="55" t="s">
        <v>266</v>
      </c>
      <c r="S115" s="55" t="s">
        <v>173</v>
      </c>
      <c r="T115" s="29"/>
      <c r="U115" s="29" t="s">
        <v>352</v>
      </c>
      <c r="V115" s="29" t="s">
        <v>165</v>
      </c>
      <c r="W115" s="29" t="s">
        <v>40</v>
      </c>
      <c r="X115" s="29" t="s">
        <v>41</v>
      </c>
      <c r="Y115" s="30" t="s">
        <v>166</v>
      </c>
      <c r="Z115" s="90" t="s">
        <v>43</v>
      </c>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row>
    <row r="116" spans="1:57" ht="111" customHeight="1" x14ac:dyDescent="0.25">
      <c r="A116" s="17" t="s">
        <v>348</v>
      </c>
      <c r="B116" s="86" t="s">
        <v>378</v>
      </c>
      <c r="C116" s="87" t="s">
        <v>379</v>
      </c>
      <c r="D116" s="20">
        <v>43868</v>
      </c>
      <c r="E116" s="51" t="s">
        <v>73</v>
      </c>
      <c r="F116" s="35" t="s">
        <v>380</v>
      </c>
      <c r="G116" s="30">
        <v>9</v>
      </c>
      <c r="H116" s="23" t="s">
        <v>32</v>
      </c>
      <c r="I116" s="88" t="s">
        <v>168</v>
      </c>
      <c r="J116" s="86" t="s">
        <v>373</v>
      </c>
      <c r="K116" s="91" t="s">
        <v>108</v>
      </c>
      <c r="L116" s="26">
        <f t="shared" si="3"/>
        <v>290623518</v>
      </c>
      <c r="M116" s="26">
        <f t="shared" si="2"/>
        <v>290623518</v>
      </c>
      <c r="N116" s="26">
        <v>290623518</v>
      </c>
      <c r="O116" s="26"/>
      <c r="P116" s="47"/>
      <c r="Q116" s="47"/>
      <c r="R116" s="29" t="s">
        <v>36</v>
      </c>
      <c r="S116" s="29" t="s">
        <v>37</v>
      </c>
      <c r="T116" s="29" t="s">
        <v>67</v>
      </c>
      <c r="U116" s="29" t="s">
        <v>352</v>
      </c>
      <c r="V116" s="29" t="s">
        <v>165</v>
      </c>
      <c r="W116" s="29" t="s">
        <v>40</v>
      </c>
      <c r="X116" s="29" t="s">
        <v>41</v>
      </c>
      <c r="Y116" s="30" t="s">
        <v>232</v>
      </c>
      <c r="Z116" s="90" t="s">
        <v>43</v>
      </c>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row>
    <row r="117" spans="1:57" ht="42.75" customHeight="1" x14ac:dyDescent="0.25">
      <c r="A117" s="17" t="s">
        <v>348</v>
      </c>
      <c r="B117" s="86">
        <v>80131502</v>
      </c>
      <c r="C117" s="87" t="s">
        <v>381</v>
      </c>
      <c r="D117" s="20">
        <v>44071</v>
      </c>
      <c r="E117" s="92" t="s">
        <v>156</v>
      </c>
      <c r="F117" s="92" t="s">
        <v>252</v>
      </c>
      <c r="G117" s="91">
        <v>12</v>
      </c>
      <c r="H117" s="42" t="s">
        <v>32</v>
      </c>
      <c r="I117" s="87" t="s">
        <v>33</v>
      </c>
      <c r="J117" s="88" t="s">
        <v>382</v>
      </c>
      <c r="K117" s="46" t="s">
        <v>383</v>
      </c>
      <c r="L117" s="26">
        <f t="shared" si="3"/>
        <v>6020537619</v>
      </c>
      <c r="M117" s="26">
        <f t="shared" si="2"/>
        <v>2238253740</v>
      </c>
      <c r="N117" s="26">
        <v>2238253740</v>
      </c>
      <c r="O117" s="26">
        <v>0</v>
      </c>
      <c r="P117" s="26">
        <v>2350166430</v>
      </c>
      <c r="Q117" s="26">
        <v>1432117449</v>
      </c>
      <c r="R117" s="29" t="s">
        <v>356</v>
      </c>
      <c r="S117" s="29" t="s">
        <v>173</v>
      </c>
      <c r="T117" s="29"/>
      <c r="U117" s="29" t="s">
        <v>352</v>
      </c>
      <c r="V117" s="29" t="s">
        <v>165</v>
      </c>
      <c r="W117" s="29" t="s">
        <v>40</v>
      </c>
      <c r="X117" s="29" t="s">
        <v>41</v>
      </c>
      <c r="Y117" s="30" t="s">
        <v>166</v>
      </c>
      <c r="Z117" s="90" t="s">
        <v>43</v>
      </c>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row>
    <row r="118" spans="1:57" ht="57" customHeight="1" x14ac:dyDescent="0.25">
      <c r="A118" s="17" t="s">
        <v>348</v>
      </c>
      <c r="B118" s="18">
        <v>80131502</v>
      </c>
      <c r="C118" s="19" t="s">
        <v>384</v>
      </c>
      <c r="D118" s="20">
        <v>44071</v>
      </c>
      <c r="E118" s="21" t="s">
        <v>156</v>
      </c>
      <c r="F118" s="21" t="s">
        <v>252</v>
      </c>
      <c r="G118" s="37">
        <v>11.5</v>
      </c>
      <c r="H118" s="23" t="s">
        <v>32</v>
      </c>
      <c r="I118" s="24" t="s">
        <v>46</v>
      </c>
      <c r="J118" s="24" t="s">
        <v>382</v>
      </c>
      <c r="K118" s="46" t="s">
        <v>383</v>
      </c>
      <c r="L118" s="26">
        <f t="shared" si="3"/>
        <v>294434604</v>
      </c>
      <c r="M118" s="26">
        <f t="shared" si="2"/>
        <v>294434604</v>
      </c>
      <c r="N118" s="26">
        <v>294434604</v>
      </c>
      <c r="O118" s="26">
        <v>0</v>
      </c>
      <c r="P118" s="26"/>
      <c r="Q118" s="26"/>
      <c r="R118" s="29" t="s">
        <v>36</v>
      </c>
      <c r="S118" s="29" t="s">
        <v>37</v>
      </c>
      <c r="T118" s="29" t="s">
        <v>48</v>
      </c>
      <c r="U118" s="29" t="s">
        <v>352</v>
      </c>
      <c r="V118" s="29" t="s">
        <v>165</v>
      </c>
      <c r="W118" s="29" t="s">
        <v>40</v>
      </c>
      <c r="X118" s="29" t="s">
        <v>41</v>
      </c>
      <c r="Y118" s="30" t="s">
        <v>166</v>
      </c>
      <c r="Z118" s="41" t="s">
        <v>43</v>
      </c>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row>
    <row r="119" spans="1:57" ht="57" customHeight="1" x14ac:dyDescent="0.25">
      <c r="A119" s="17" t="s">
        <v>348</v>
      </c>
      <c r="B119" s="86">
        <v>80131502</v>
      </c>
      <c r="C119" s="87" t="s">
        <v>385</v>
      </c>
      <c r="D119" s="20">
        <v>44141</v>
      </c>
      <c r="E119" s="92" t="s">
        <v>386</v>
      </c>
      <c r="F119" s="92" t="s">
        <v>386</v>
      </c>
      <c r="G119" s="30">
        <v>1</v>
      </c>
      <c r="H119" s="86" t="s">
        <v>32</v>
      </c>
      <c r="I119" s="88" t="s">
        <v>124</v>
      </c>
      <c r="J119" s="88" t="s">
        <v>382</v>
      </c>
      <c r="K119" s="46" t="s">
        <v>383</v>
      </c>
      <c r="L119" s="26">
        <f t="shared" si="3"/>
        <v>327069802.22220999</v>
      </c>
      <c r="M119" s="26">
        <f t="shared" si="2"/>
        <v>13687875.222210001</v>
      </c>
      <c r="N119" s="26">
        <v>13687875.222210001</v>
      </c>
      <c r="O119" s="26"/>
      <c r="P119" s="26">
        <v>313381927</v>
      </c>
      <c r="Q119" s="26"/>
      <c r="R119" s="55" t="s">
        <v>266</v>
      </c>
      <c r="S119" s="55" t="s">
        <v>173</v>
      </c>
      <c r="T119" s="29"/>
      <c r="U119" s="29" t="s">
        <v>352</v>
      </c>
      <c r="V119" s="29" t="s">
        <v>165</v>
      </c>
      <c r="W119" s="29" t="s">
        <v>40</v>
      </c>
      <c r="X119" s="29" t="s">
        <v>41</v>
      </c>
      <c r="Y119" s="30" t="s">
        <v>166</v>
      </c>
      <c r="Z119" s="90" t="s">
        <v>43</v>
      </c>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row>
    <row r="120" spans="1:57" ht="71.25" customHeight="1" x14ac:dyDescent="0.25">
      <c r="A120" s="17" t="s">
        <v>348</v>
      </c>
      <c r="B120" s="18">
        <v>80131502</v>
      </c>
      <c r="C120" s="19" t="s">
        <v>387</v>
      </c>
      <c r="D120" s="20">
        <v>44071</v>
      </c>
      <c r="E120" s="21" t="s">
        <v>156</v>
      </c>
      <c r="F120" s="21" t="s">
        <v>252</v>
      </c>
      <c r="G120" s="37">
        <v>11.5</v>
      </c>
      <c r="H120" s="23" t="s">
        <v>32</v>
      </c>
      <c r="I120" s="24" t="s">
        <v>46</v>
      </c>
      <c r="J120" s="24" t="s">
        <v>388</v>
      </c>
      <c r="K120" s="46" t="s">
        <v>35</v>
      </c>
      <c r="L120" s="26">
        <f t="shared" si="3"/>
        <v>72622183</v>
      </c>
      <c r="M120" s="26">
        <f t="shared" si="2"/>
        <v>72622183</v>
      </c>
      <c r="N120" s="26">
        <v>0</v>
      </c>
      <c r="O120" s="26">
        <v>72622183</v>
      </c>
      <c r="P120" s="26"/>
      <c r="Q120" s="26"/>
      <c r="R120" s="29" t="s">
        <v>36</v>
      </c>
      <c r="S120" s="29" t="s">
        <v>37</v>
      </c>
      <c r="T120" s="29" t="s">
        <v>48</v>
      </c>
      <c r="U120" s="29" t="s">
        <v>352</v>
      </c>
      <c r="V120" s="29" t="s">
        <v>165</v>
      </c>
      <c r="W120" s="29" t="s">
        <v>40</v>
      </c>
      <c r="X120" s="29" t="s">
        <v>41</v>
      </c>
      <c r="Y120" s="30" t="s">
        <v>166</v>
      </c>
      <c r="Z120" s="41" t="s">
        <v>43</v>
      </c>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row>
    <row r="121" spans="1:57" ht="84" x14ac:dyDescent="0.25">
      <c r="A121" s="17" t="s">
        <v>348</v>
      </c>
      <c r="B121" s="86">
        <v>80131502</v>
      </c>
      <c r="C121" s="87" t="s">
        <v>389</v>
      </c>
      <c r="D121" s="20">
        <v>44071</v>
      </c>
      <c r="E121" s="92" t="s">
        <v>156</v>
      </c>
      <c r="F121" s="92" t="s">
        <v>252</v>
      </c>
      <c r="G121" s="93">
        <v>11.5</v>
      </c>
      <c r="H121" s="86" t="s">
        <v>32</v>
      </c>
      <c r="I121" s="87" t="s">
        <v>33</v>
      </c>
      <c r="J121" s="88" t="s">
        <v>390</v>
      </c>
      <c r="K121" s="46" t="s">
        <v>35</v>
      </c>
      <c r="L121" s="26">
        <f t="shared" si="3"/>
        <v>212369629</v>
      </c>
      <c r="M121" s="26">
        <f t="shared" si="2"/>
        <v>212369629</v>
      </c>
      <c r="N121" s="26">
        <v>0</v>
      </c>
      <c r="O121" s="26">
        <v>212369629</v>
      </c>
      <c r="P121" s="26"/>
      <c r="Q121" s="26"/>
      <c r="R121" s="29" t="s">
        <v>36</v>
      </c>
      <c r="S121" s="29" t="s">
        <v>37</v>
      </c>
      <c r="T121" s="29"/>
      <c r="U121" s="29" t="s">
        <v>352</v>
      </c>
      <c r="V121" s="29" t="s">
        <v>165</v>
      </c>
      <c r="W121" s="29" t="s">
        <v>40</v>
      </c>
      <c r="X121" s="29" t="s">
        <v>41</v>
      </c>
      <c r="Y121" s="30" t="s">
        <v>166</v>
      </c>
      <c r="Z121" s="90" t="s">
        <v>43</v>
      </c>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row>
    <row r="122" spans="1:57" ht="84" x14ac:dyDescent="0.25">
      <c r="A122" s="17" t="s">
        <v>348</v>
      </c>
      <c r="B122" s="86">
        <v>80131502</v>
      </c>
      <c r="C122" s="94" t="s">
        <v>391</v>
      </c>
      <c r="D122" s="20">
        <v>44141</v>
      </c>
      <c r="E122" s="92" t="s">
        <v>386</v>
      </c>
      <c r="F122" s="92" t="s">
        <v>386</v>
      </c>
      <c r="G122" s="30">
        <v>15</v>
      </c>
      <c r="H122" s="86" t="s">
        <v>27</v>
      </c>
      <c r="I122" s="88" t="s">
        <v>124</v>
      </c>
      <c r="J122" s="88" t="s">
        <v>390</v>
      </c>
      <c r="K122" s="46" t="s">
        <v>35</v>
      </c>
      <c r="L122" s="26">
        <f t="shared" si="3"/>
        <v>2500000</v>
      </c>
      <c r="M122" s="26">
        <f t="shared" si="2"/>
        <v>2500000</v>
      </c>
      <c r="N122" s="26">
        <v>0</v>
      </c>
      <c r="O122" s="26">
        <v>2500000</v>
      </c>
      <c r="P122" s="26"/>
      <c r="Q122" s="26"/>
      <c r="R122" s="29" t="s">
        <v>36</v>
      </c>
      <c r="S122" s="29" t="s">
        <v>37</v>
      </c>
      <c r="T122" s="29"/>
      <c r="U122" s="29" t="s">
        <v>352</v>
      </c>
      <c r="V122" s="29" t="s">
        <v>165</v>
      </c>
      <c r="W122" s="29" t="s">
        <v>40</v>
      </c>
      <c r="X122" s="29" t="s">
        <v>41</v>
      </c>
      <c r="Y122" s="30" t="s">
        <v>166</v>
      </c>
      <c r="Z122" s="90" t="s">
        <v>43</v>
      </c>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row>
    <row r="123" spans="1:57" ht="57" customHeight="1" x14ac:dyDescent="0.25">
      <c r="A123" s="17" t="s">
        <v>348</v>
      </c>
      <c r="B123" s="89">
        <v>80131502</v>
      </c>
      <c r="C123" s="94" t="s">
        <v>392</v>
      </c>
      <c r="D123" s="20">
        <v>44071</v>
      </c>
      <c r="E123" s="92" t="s">
        <v>156</v>
      </c>
      <c r="F123" s="92" t="s">
        <v>252</v>
      </c>
      <c r="G123" s="93">
        <v>11.5</v>
      </c>
      <c r="H123" s="89" t="s">
        <v>32</v>
      </c>
      <c r="I123" s="94" t="s">
        <v>33</v>
      </c>
      <c r="J123" s="95" t="s">
        <v>388</v>
      </c>
      <c r="K123" s="46" t="s">
        <v>35</v>
      </c>
      <c r="L123" s="26">
        <f t="shared" si="3"/>
        <v>49540063</v>
      </c>
      <c r="M123" s="26">
        <f t="shared" si="2"/>
        <v>49540063</v>
      </c>
      <c r="N123" s="26">
        <v>0</v>
      </c>
      <c r="O123" s="26">
        <v>49540063</v>
      </c>
      <c r="P123" s="26"/>
      <c r="Q123" s="26"/>
      <c r="R123" s="29" t="s">
        <v>36</v>
      </c>
      <c r="S123" s="29" t="s">
        <v>37</v>
      </c>
      <c r="T123" s="29"/>
      <c r="U123" s="29" t="s">
        <v>352</v>
      </c>
      <c r="V123" s="29" t="s">
        <v>165</v>
      </c>
      <c r="W123" s="29" t="s">
        <v>40</v>
      </c>
      <c r="X123" s="29" t="s">
        <v>41</v>
      </c>
      <c r="Y123" s="30" t="s">
        <v>166</v>
      </c>
      <c r="Z123" s="90" t="s">
        <v>43</v>
      </c>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row>
    <row r="124" spans="1:57" ht="71.25" customHeight="1" x14ac:dyDescent="0.25">
      <c r="A124" s="17" t="s">
        <v>348</v>
      </c>
      <c r="B124" s="86">
        <v>80131502</v>
      </c>
      <c r="C124" s="87" t="s">
        <v>393</v>
      </c>
      <c r="D124" s="20">
        <v>44071</v>
      </c>
      <c r="E124" s="92" t="s">
        <v>156</v>
      </c>
      <c r="F124" s="92" t="s">
        <v>252</v>
      </c>
      <c r="G124" s="93">
        <v>11.5</v>
      </c>
      <c r="H124" s="86" t="s">
        <v>32</v>
      </c>
      <c r="I124" s="87" t="s">
        <v>33</v>
      </c>
      <c r="J124" s="88" t="s">
        <v>388</v>
      </c>
      <c r="K124" s="46" t="s">
        <v>35</v>
      </c>
      <c r="L124" s="26">
        <f t="shared" si="3"/>
        <v>55200000</v>
      </c>
      <c r="M124" s="26">
        <f t="shared" si="2"/>
        <v>55200000</v>
      </c>
      <c r="N124" s="26"/>
      <c r="O124" s="26">
        <v>55200000</v>
      </c>
      <c r="P124" s="26"/>
      <c r="Q124" s="26"/>
      <c r="R124" s="29" t="s">
        <v>36</v>
      </c>
      <c r="S124" s="29" t="s">
        <v>37</v>
      </c>
      <c r="T124" s="29"/>
      <c r="U124" s="29" t="s">
        <v>352</v>
      </c>
      <c r="V124" s="29" t="s">
        <v>165</v>
      </c>
      <c r="W124" s="29" t="s">
        <v>40</v>
      </c>
      <c r="X124" s="29" t="s">
        <v>41</v>
      </c>
      <c r="Y124" s="30" t="s">
        <v>166</v>
      </c>
      <c r="Z124" s="90" t="s">
        <v>43</v>
      </c>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row>
    <row r="125" spans="1:57" ht="57" customHeight="1" x14ac:dyDescent="0.25">
      <c r="A125" s="17" t="s">
        <v>348</v>
      </c>
      <c r="B125" s="86">
        <v>80131502</v>
      </c>
      <c r="C125" s="87" t="s">
        <v>394</v>
      </c>
      <c r="D125" s="20">
        <v>44071</v>
      </c>
      <c r="E125" s="92" t="s">
        <v>156</v>
      </c>
      <c r="F125" s="92" t="s">
        <v>252</v>
      </c>
      <c r="G125" s="93">
        <v>11.5</v>
      </c>
      <c r="H125" s="86" t="s">
        <v>32</v>
      </c>
      <c r="I125" s="87" t="s">
        <v>33</v>
      </c>
      <c r="J125" s="88" t="s">
        <v>388</v>
      </c>
      <c r="K125" s="46" t="s">
        <v>35</v>
      </c>
      <c r="L125" s="26">
        <f t="shared" si="3"/>
        <v>61889285</v>
      </c>
      <c r="M125" s="26">
        <f t="shared" si="2"/>
        <v>61889285</v>
      </c>
      <c r="N125" s="26">
        <v>0</v>
      </c>
      <c r="O125" s="26">
        <v>61889285</v>
      </c>
      <c r="P125" s="26"/>
      <c r="Q125" s="26"/>
      <c r="R125" s="29" t="s">
        <v>36</v>
      </c>
      <c r="S125" s="29" t="s">
        <v>37</v>
      </c>
      <c r="T125" s="29"/>
      <c r="U125" s="29" t="s">
        <v>352</v>
      </c>
      <c r="V125" s="29" t="s">
        <v>165</v>
      </c>
      <c r="W125" s="29" t="s">
        <v>40</v>
      </c>
      <c r="X125" s="29" t="s">
        <v>41</v>
      </c>
      <c r="Y125" s="30" t="s">
        <v>166</v>
      </c>
      <c r="Z125" s="90" t="s">
        <v>43</v>
      </c>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row>
    <row r="126" spans="1:57" ht="57" customHeight="1" x14ac:dyDescent="0.25">
      <c r="A126" s="17" t="s">
        <v>348</v>
      </c>
      <c r="B126" s="86">
        <v>80131502</v>
      </c>
      <c r="C126" s="94" t="s">
        <v>395</v>
      </c>
      <c r="D126" s="20">
        <v>44071</v>
      </c>
      <c r="E126" s="92" t="s">
        <v>156</v>
      </c>
      <c r="F126" s="92" t="s">
        <v>252</v>
      </c>
      <c r="G126" s="93">
        <v>11.5</v>
      </c>
      <c r="H126" s="86" t="s">
        <v>32</v>
      </c>
      <c r="I126" s="87" t="s">
        <v>33</v>
      </c>
      <c r="J126" s="88" t="s">
        <v>388</v>
      </c>
      <c r="K126" s="46" t="s">
        <v>35</v>
      </c>
      <c r="L126" s="26">
        <f t="shared" si="3"/>
        <v>101877600</v>
      </c>
      <c r="M126" s="26">
        <f t="shared" si="2"/>
        <v>101877600</v>
      </c>
      <c r="N126" s="26">
        <v>0</v>
      </c>
      <c r="O126" s="26">
        <v>101877600</v>
      </c>
      <c r="P126" s="26"/>
      <c r="Q126" s="26"/>
      <c r="R126" s="29" t="s">
        <v>36</v>
      </c>
      <c r="S126" s="29" t="s">
        <v>37</v>
      </c>
      <c r="T126" s="29"/>
      <c r="U126" s="29" t="s">
        <v>352</v>
      </c>
      <c r="V126" s="29" t="s">
        <v>165</v>
      </c>
      <c r="W126" s="29" t="s">
        <v>40</v>
      </c>
      <c r="X126" s="29" t="s">
        <v>41</v>
      </c>
      <c r="Y126" s="30" t="s">
        <v>166</v>
      </c>
      <c r="Z126" s="90" t="s">
        <v>43</v>
      </c>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row>
    <row r="127" spans="1:57" ht="42.75" customHeight="1" x14ac:dyDescent="0.25">
      <c r="A127" s="17" t="s">
        <v>348</v>
      </c>
      <c r="B127" s="86">
        <v>80131502</v>
      </c>
      <c r="C127" s="94" t="s">
        <v>396</v>
      </c>
      <c r="D127" s="20">
        <v>44071</v>
      </c>
      <c r="E127" s="92" t="s">
        <v>156</v>
      </c>
      <c r="F127" s="92" t="s">
        <v>252</v>
      </c>
      <c r="G127" s="93">
        <v>11</v>
      </c>
      <c r="H127" s="86" t="s">
        <v>32</v>
      </c>
      <c r="I127" s="87" t="s">
        <v>33</v>
      </c>
      <c r="J127" s="88" t="s">
        <v>388</v>
      </c>
      <c r="K127" s="46" t="s">
        <v>35</v>
      </c>
      <c r="L127" s="26">
        <f t="shared" si="3"/>
        <v>38133334</v>
      </c>
      <c r="M127" s="26">
        <f t="shared" si="2"/>
        <v>38133334</v>
      </c>
      <c r="N127" s="26">
        <v>0</v>
      </c>
      <c r="O127" s="26">
        <f>33000000+7000000- 1866666</f>
        <v>38133334</v>
      </c>
      <c r="P127" s="26"/>
      <c r="Q127" s="26"/>
      <c r="R127" s="29" t="s">
        <v>36</v>
      </c>
      <c r="S127" s="29" t="s">
        <v>37</v>
      </c>
      <c r="T127" s="29" t="s">
        <v>98</v>
      </c>
      <c r="U127" s="29" t="s">
        <v>352</v>
      </c>
      <c r="V127" s="29" t="s">
        <v>165</v>
      </c>
      <c r="W127" s="29" t="s">
        <v>40</v>
      </c>
      <c r="X127" s="29" t="s">
        <v>41</v>
      </c>
      <c r="Y127" s="30" t="s">
        <v>166</v>
      </c>
      <c r="Z127" s="90" t="s">
        <v>43</v>
      </c>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row>
    <row r="128" spans="1:57" ht="42.75" customHeight="1" x14ac:dyDescent="0.25">
      <c r="A128" s="17" t="s">
        <v>348</v>
      </c>
      <c r="B128" s="86">
        <v>80131503</v>
      </c>
      <c r="C128" s="94" t="s">
        <v>397</v>
      </c>
      <c r="D128" s="20">
        <v>44072</v>
      </c>
      <c r="E128" s="92" t="s">
        <v>156</v>
      </c>
      <c r="F128" s="92" t="s">
        <v>252</v>
      </c>
      <c r="G128" s="93">
        <v>12</v>
      </c>
      <c r="H128" s="86" t="s">
        <v>32</v>
      </c>
      <c r="I128" s="87" t="s">
        <v>33</v>
      </c>
      <c r="J128" s="88" t="s">
        <v>388</v>
      </c>
      <c r="K128" s="46" t="s">
        <v>108</v>
      </c>
      <c r="L128" s="26">
        <f t="shared" si="3"/>
        <v>1866667</v>
      </c>
      <c r="M128" s="26">
        <f t="shared" si="2"/>
        <v>1866667</v>
      </c>
      <c r="N128" s="26">
        <v>1</v>
      </c>
      <c r="O128" s="26">
        <f>33000000+7000000-38133334</f>
        <v>1866666</v>
      </c>
      <c r="P128" s="26"/>
      <c r="Q128" s="26"/>
      <c r="R128" s="29" t="s">
        <v>36</v>
      </c>
      <c r="S128" s="29" t="s">
        <v>37</v>
      </c>
      <c r="T128" s="29" t="s">
        <v>219</v>
      </c>
      <c r="U128" s="29" t="s">
        <v>352</v>
      </c>
      <c r="V128" s="29" t="s">
        <v>165</v>
      </c>
      <c r="W128" s="29" t="s">
        <v>40</v>
      </c>
      <c r="X128" s="29" t="s">
        <v>41</v>
      </c>
      <c r="Y128" s="30" t="s">
        <v>232</v>
      </c>
      <c r="Z128" s="90" t="s">
        <v>43</v>
      </c>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row>
    <row r="129" spans="1:57" ht="57" customHeight="1" x14ac:dyDescent="0.25">
      <c r="A129" s="17" t="s">
        <v>348</v>
      </c>
      <c r="B129" s="86">
        <v>80131502</v>
      </c>
      <c r="C129" s="87" t="s">
        <v>398</v>
      </c>
      <c r="D129" s="20">
        <v>44071</v>
      </c>
      <c r="E129" s="92" t="s">
        <v>156</v>
      </c>
      <c r="F129" s="92" t="s">
        <v>252</v>
      </c>
      <c r="G129" s="93">
        <v>11.5</v>
      </c>
      <c r="H129" s="86" t="s">
        <v>32</v>
      </c>
      <c r="I129" s="87" t="s">
        <v>33</v>
      </c>
      <c r="J129" s="88" t="s">
        <v>388</v>
      </c>
      <c r="K129" s="46" t="s">
        <v>35</v>
      </c>
      <c r="L129" s="26">
        <f t="shared" si="3"/>
        <v>51320044</v>
      </c>
      <c r="M129" s="26">
        <f t="shared" si="2"/>
        <v>51320044</v>
      </c>
      <c r="N129" s="27">
        <v>51320044</v>
      </c>
      <c r="O129" s="26">
        <v>0</v>
      </c>
      <c r="P129" s="26"/>
      <c r="Q129" s="26"/>
      <c r="R129" s="29" t="s">
        <v>36</v>
      </c>
      <c r="S129" s="29" t="s">
        <v>37</v>
      </c>
      <c r="T129" s="29"/>
      <c r="U129" s="29" t="s">
        <v>352</v>
      </c>
      <c r="V129" s="29" t="s">
        <v>165</v>
      </c>
      <c r="W129" s="29" t="s">
        <v>40</v>
      </c>
      <c r="X129" s="29" t="s">
        <v>41</v>
      </c>
      <c r="Y129" s="30" t="s">
        <v>166</v>
      </c>
      <c r="Z129" s="90" t="s">
        <v>43</v>
      </c>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row>
    <row r="130" spans="1:57" ht="57" customHeight="1" x14ac:dyDescent="0.25">
      <c r="A130" s="17" t="s">
        <v>348</v>
      </c>
      <c r="B130" s="86">
        <v>80131502</v>
      </c>
      <c r="C130" s="87" t="s">
        <v>399</v>
      </c>
      <c r="D130" s="20">
        <v>44071</v>
      </c>
      <c r="E130" s="92" t="s">
        <v>156</v>
      </c>
      <c r="F130" s="92" t="s">
        <v>252</v>
      </c>
      <c r="G130" s="93">
        <v>11.5</v>
      </c>
      <c r="H130" s="86" t="s">
        <v>32</v>
      </c>
      <c r="I130" s="87" t="s">
        <v>33</v>
      </c>
      <c r="J130" s="88" t="s">
        <v>388</v>
      </c>
      <c r="K130" s="46" t="s">
        <v>35</v>
      </c>
      <c r="L130" s="26">
        <f t="shared" si="3"/>
        <v>83159117</v>
      </c>
      <c r="M130" s="26">
        <f t="shared" si="2"/>
        <v>83159117</v>
      </c>
      <c r="N130" s="26">
        <v>83159117</v>
      </c>
      <c r="O130" s="26">
        <v>0</v>
      </c>
      <c r="P130" s="26"/>
      <c r="Q130" s="26"/>
      <c r="R130" s="29" t="s">
        <v>36</v>
      </c>
      <c r="S130" s="29" t="s">
        <v>37</v>
      </c>
      <c r="T130" s="29"/>
      <c r="U130" s="29" t="s">
        <v>352</v>
      </c>
      <c r="V130" s="29" t="s">
        <v>165</v>
      </c>
      <c r="W130" s="29" t="s">
        <v>40</v>
      </c>
      <c r="X130" s="29" t="s">
        <v>41</v>
      </c>
      <c r="Y130" s="30" t="s">
        <v>166</v>
      </c>
      <c r="Z130" s="90" t="s">
        <v>43</v>
      </c>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row>
    <row r="131" spans="1:57" ht="57" customHeight="1" x14ac:dyDescent="0.25">
      <c r="A131" s="17" t="s">
        <v>348</v>
      </c>
      <c r="B131" s="86">
        <v>80131502</v>
      </c>
      <c r="C131" s="87" t="s">
        <v>400</v>
      </c>
      <c r="D131" s="20">
        <v>44071</v>
      </c>
      <c r="E131" s="92" t="s">
        <v>156</v>
      </c>
      <c r="F131" s="92" t="s">
        <v>252</v>
      </c>
      <c r="G131" s="93">
        <v>11.5</v>
      </c>
      <c r="H131" s="86" t="s">
        <v>32</v>
      </c>
      <c r="I131" s="87" t="s">
        <v>33</v>
      </c>
      <c r="J131" s="88" t="s">
        <v>388</v>
      </c>
      <c r="K131" s="46" t="s">
        <v>35</v>
      </c>
      <c r="L131" s="26">
        <f t="shared" si="3"/>
        <v>117250000</v>
      </c>
      <c r="M131" s="26">
        <f t="shared" si="2"/>
        <v>117250000</v>
      </c>
      <c r="N131" s="26">
        <v>117250000</v>
      </c>
      <c r="O131" s="26">
        <v>0</v>
      </c>
      <c r="P131" s="26"/>
      <c r="Q131" s="26"/>
      <c r="R131" s="29" t="s">
        <v>36</v>
      </c>
      <c r="S131" s="29" t="s">
        <v>37</v>
      </c>
      <c r="T131" s="29"/>
      <c r="U131" s="29" t="s">
        <v>352</v>
      </c>
      <c r="V131" s="29" t="s">
        <v>165</v>
      </c>
      <c r="W131" s="29" t="s">
        <v>40</v>
      </c>
      <c r="X131" s="29" t="s">
        <v>41</v>
      </c>
      <c r="Y131" s="30" t="s">
        <v>166</v>
      </c>
      <c r="Z131" s="90" t="s">
        <v>43</v>
      </c>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row>
    <row r="132" spans="1:57" ht="57" customHeight="1" x14ac:dyDescent="0.25">
      <c r="A132" s="17" t="s">
        <v>348</v>
      </c>
      <c r="B132" s="86">
        <v>80131502</v>
      </c>
      <c r="C132" s="87" t="s">
        <v>401</v>
      </c>
      <c r="D132" s="20">
        <v>44071</v>
      </c>
      <c r="E132" s="92" t="s">
        <v>156</v>
      </c>
      <c r="F132" s="92" t="s">
        <v>252</v>
      </c>
      <c r="G132" s="93">
        <v>11.5</v>
      </c>
      <c r="H132" s="86" t="s">
        <v>32</v>
      </c>
      <c r="I132" s="87" t="s">
        <v>33</v>
      </c>
      <c r="J132" s="88" t="s">
        <v>388</v>
      </c>
      <c r="K132" s="46" t="s">
        <v>35</v>
      </c>
      <c r="L132" s="26">
        <f t="shared" si="3"/>
        <v>107275625</v>
      </c>
      <c r="M132" s="26">
        <f t="shared" si="2"/>
        <v>107275625</v>
      </c>
      <c r="N132" s="26">
        <v>107275625</v>
      </c>
      <c r="O132" s="26">
        <v>0</v>
      </c>
      <c r="P132" s="26"/>
      <c r="Q132" s="26"/>
      <c r="R132" s="29" t="s">
        <v>36</v>
      </c>
      <c r="S132" s="29" t="s">
        <v>37</v>
      </c>
      <c r="T132" s="29"/>
      <c r="U132" s="29" t="s">
        <v>352</v>
      </c>
      <c r="V132" s="29" t="s">
        <v>165</v>
      </c>
      <c r="W132" s="29" t="s">
        <v>40</v>
      </c>
      <c r="X132" s="29" t="s">
        <v>41</v>
      </c>
      <c r="Y132" s="30" t="s">
        <v>166</v>
      </c>
      <c r="Z132" s="90" t="s">
        <v>43</v>
      </c>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row>
    <row r="133" spans="1:57" ht="57" customHeight="1" x14ac:dyDescent="0.25">
      <c r="A133" s="17" t="s">
        <v>348</v>
      </c>
      <c r="B133" s="86">
        <v>80131502</v>
      </c>
      <c r="C133" s="87" t="s">
        <v>402</v>
      </c>
      <c r="D133" s="20">
        <v>44071</v>
      </c>
      <c r="E133" s="92" t="s">
        <v>156</v>
      </c>
      <c r="F133" s="92" t="s">
        <v>252</v>
      </c>
      <c r="G133" s="93">
        <v>11.5</v>
      </c>
      <c r="H133" s="86" t="s">
        <v>32</v>
      </c>
      <c r="I133" s="87" t="s">
        <v>33</v>
      </c>
      <c r="J133" s="88" t="s">
        <v>388</v>
      </c>
      <c r="K133" s="46" t="s">
        <v>35</v>
      </c>
      <c r="L133" s="26">
        <f t="shared" si="3"/>
        <v>117934740</v>
      </c>
      <c r="M133" s="26">
        <f t="shared" si="2"/>
        <v>117934740</v>
      </c>
      <c r="N133" s="27">
        <v>117934740</v>
      </c>
      <c r="O133" s="26">
        <v>0</v>
      </c>
      <c r="P133" s="26"/>
      <c r="Q133" s="26"/>
      <c r="R133" s="29" t="s">
        <v>36</v>
      </c>
      <c r="S133" s="29" t="s">
        <v>37</v>
      </c>
      <c r="T133" s="29"/>
      <c r="U133" s="29" t="s">
        <v>352</v>
      </c>
      <c r="V133" s="29" t="s">
        <v>165</v>
      </c>
      <c r="W133" s="29" t="s">
        <v>40</v>
      </c>
      <c r="X133" s="29" t="s">
        <v>41</v>
      </c>
      <c r="Y133" s="30" t="s">
        <v>166</v>
      </c>
      <c r="Z133" s="90" t="s">
        <v>43</v>
      </c>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row>
    <row r="134" spans="1:57" ht="57" customHeight="1" x14ac:dyDescent="0.25">
      <c r="A134" s="17" t="s">
        <v>348</v>
      </c>
      <c r="B134" s="86">
        <v>80131502</v>
      </c>
      <c r="C134" s="87" t="s">
        <v>403</v>
      </c>
      <c r="D134" s="20">
        <v>44071</v>
      </c>
      <c r="E134" s="92" t="s">
        <v>156</v>
      </c>
      <c r="F134" s="92" t="s">
        <v>252</v>
      </c>
      <c r="G134" s="93">
        <v>11.5</v>
      </c>
      <c r="H134" s="86" t="s">
        <v>32</v>
      </c>
      <c r="I134" s="87" t="s">
        <v>33</v>
      </c>
      <c r="J134" s="88" t="s">
        <v>388</v>
      </c>
      <c r="K134" s="46" t="s">
        <v>35</v>
      </c>
      <c r="L134" s="26">
        <f t="shared" si="3"/>
        <v>74321844</v>
      </c>
      <c r="M134" s="26">
        <f t="shared" ref="M134:M182" si="4">+O134+N134</f>
        <v>74321844</v>
      </c>
      <c r="N134" s="26">
        <v>74321844</v>
      </c>
      <c r="O134" s="26">
        <v>0</v>
      </c>
      <c r="P134" s="26"/>
      <c r="Q134" s="26"/>
      <c r="R134" s="29" t="s">
        <v>36</v>
      </c>
      <c r="S134" s="29" t="s">
        <v>37</v>
      </c>
      <c r="T134" s="29"/>
      <c r="U134" s="29" t="s">
        <v>352</v>
      </c>
      <c r="V134" s="29" t="s">
        <v>165</v>
      </c>
      <c r="W134" s="29" t="s">
        <v>40</v>
      </c>
      <c r="X134" s="29" t="s">
        <v>41</v>
      </c>
      <c r="Y134" s="30" t="s">
        <v>166</v>
      </c>
      <c r="Z134" s="90" t="s">
        <v>43</v>
      </c>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row>
    <row r="135" spans="1:57" ht="57" customHeight="1" x14ac:dyDescent="0.25">
      <c r="A135" s="17" t="s">
        <v>348</v>
      </c>
      <c r="B135" s="86">
        <v>80131502</v>
      </c>
      <c r="C135" s="87" t="s">
        <v>404</v>
      </c>
      <c r="D135" s="20">
        <v>44071</v>
      </c>
      <c r="E135" s="92" t="s">
        <v>156</v>
      </c>
      <c r="F135" s="92" t="s">
        <v>252</v>
      </c>
      <c r="G135" s="93">
        <v>11.5</v>
      </c>
      <c r="H135" s="86" t="s">
        <v>32</v>
      </c>
      <c r="I135" s="87" t="s">
        <v>33</v>
      </c>
      <c r="J135" s="88" t="s">
        <v>388</v>
      </c>
      <c r="K135" s="46" t="s">
        <v>35</v>
      </c>
      <c r="L135" s="26">
        <f t="shared" si="3"/>
        <v>60871791</v>
      </c>
      <c r="M135" s="26">
        <f t="shared" si="4"/>
        <v>60871791</v>
      </c>
      <c r="N135" s="26">
        <v>60871791</v>
      </c>
      <c r="O135" s="26">
        <v>0</v>
      </c>
      <c r="P135" s="26"/>
      <c r="Q135" s="26"/>
      <c r="R135" s="29" t="s">
        <v>36</v>
      </c>
      <c r="S135" s="29" t="s">
        <v>37</v>
      </c>
      <c r="T135" s="29"/>
      <c r="U135" s="29" t="s">
        <v>352</v>
      </c>
      <c r="V135" s="29" t="s">
        <v>165</v>
      </c>
      <c r="W135" s="29" t="s">
        <v>40</v>
      </c>
      <c r="X135" s="29" t="s">
        <v>41</v>
      </c>
      <c r="Y135" s="30" t="s">
        <v>166</v>
      </c>
      <c r="Z135" s="90" t="s">
        <v>43</v>
      </c>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row>
    <row r="136" spans="1:57" ht="57" customHeight="1" x14ac:dyDescent="0.25">
      <c r="A136" s="17" t="s">
        <v>348</v>
      </c>
      <c r="B136" s="86">
        <v>80131502</v>
      </c>
      <c r="C136" s="87" t="s">
        <v>405</v>
      </c>
      <c r="D136" s="20">
        <v>44071</v>
      </c>
      <c r="E136" s="92" t="s">
        <v>156</v>
      </c>
      <c r="F136" s="92" t="s">
        <v>252</v>
      </c>
      <c r="G136" s="93">
        <v>11.5</v>
      </c>
      <c r="H136" s="86" t="s">
        <v>32</v>
      </c>
      <c r="I136" s="87" t="s">
        <v>33</v>
      </c>
      <c r="J136" s="88" t="s">
        <v>388</v>
      </c>
      <c r="K136" s="46" t="s">
        <v>35</v>
      </c>
      <c r="L136" s="26">
        <f t="shared" si="3"/>
        <v>52188900</v>
      </c>
      <c r="M136" s="26">
        <f t="shared" si="4"/>
        <v>52188900</v>
      </c>
      <c r="N136" s="26">
        <v>52188900</v>
      </c>
      <c r="O136" s="26">
        <v>0</v>
      </c>
      <c r="P136" s="26"/>
      <c r="Q136" s="26"/>
      <c r="R136" s="29" t="s">
        <v>36</v>
      </c>
      <c r="S136" s="29" t="s">
        <v>37</v>
      </c>
      <c r="T136" s="29"/>
      <c r="U136" s="29" t="s">
        <v>352</v>
      </c>
      <c r="V136" s="29" t="s">
        <v>165</v>
      </c>
      <c r="W136" s="29" t="s">
        <v>40</v>
      </c>
      <c r="X136" s="29" t="s">
        <v>41</v>
      </c>
      <c r="Y136" s="30" t="s">
        <v>166</v>
      </c>
      <c r="Z136" s="90" t="s">
        <v>43</v>
      </c>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row>
    <row r="137" spans="1:57" ht="57" customHeight="1" x14ac:dyDescent="0.25">
      <c r="A137" s="17" t="s">
        <v>348</v>
      </c>
      <c r="B137" s="86">
        <v>80131502</v>
      </c>
      <c r="C137" s="87" t="s">
        <v>406</v>
      </c>
      <c r="D137" s="20">
        <v>44071</v>
      </c>
      <c r="E137" s="92" t="s">
        <v>156</v>
      </c>
      <c r="F137" s="92" t="s">
        <v>252</v>
      </c>
      <c r="G137" s="93">
        <v>11.5</v>
      </c>
      <c r="H137" s="86" t="s">
        <v>32</v>
      </c>
      <c r="I137" s="87" t="s">
        <v>33</v>
      </c>
      <c r="J137" s="88" t="s">
        <v>388</v>
      </c>
      <c r="K137" s="46" t="s">
        <v>35</v>
      </c>
      <c r="L137" s="26">
        <f t="shared" si="3"/>
        <v>77660721</v>
      </c>
      <c r="M137" s="26">
        <f t="shared" si="4"/>
        <v>77660721</v>
      </c>
      <c r="N137" s="26">
        <v>77660721</v>
      </c>
      <c r="O137" s="26">
        <v>0</v>
      </c>
      <c r="P137" s="26"/>
      <c r="Q137" s="26"/>
      <c r="R137" s="29" t="s">
        <v>36</v>
      </c>
      <c r="S137" s="29" t="s">
        <v>37</v>
      </c>
      <c r="T137" s="29"/>
      <c r="U137" s="29" t="s">
        <v>352</v>
      </c>
      <c r="V137" s="29" t="s">
        <v>165</v>
      </c>
      <c r="W137" s="29" t="s">
        <v>40</v>
      </c>
      <c r="X137" s="29" t="s">
        <v>41</v>
      </c>
      <c r="Y137" s="30" t="s">
        <v>166</v>
      </c>
      <c r="Z137" s="90" t="s">
        <v>43</v>
      </c>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row>
    <row r="138" spans="1:57" ht="42.75" customHeight="1" x14ac:dyDescent="0.25">
      <c r="A138" s="17" t="s">
        <v>348</v>
      </c>
      <c r="B138" s="86">
        <v>80131502</v>
      </c>
      <c r="C138" s="87" t="s">
        <v>407</v>
      </c>
      <c r="D138" s="20">
        <v>44071</v>
      </c>
      <c r="E138" s="92" t="s">
        <v>156</v>
      </c>
      <c r="F138" s="92" t="s">
        <v>252</v>
      </c>
      <c r="G138" s="93">
        <v>11.5</v>
      </c>
      <c r="H138" s="86" t="s">
        <v>32</v>
      </c>
      <c r="I138" s="87" t="s">
        <v>33</v>
      </c>
      <c r="J138" s="88" t="s">
        <v>388</v>
      </c>
      <c r="K138" s="46" t="s">
        <v>35</v>
      </c>
      <c r="L138" s="26">
        <f t="shared" si="3"/>
        <v>46729818</v>
      </c>
      <c r="M138" s="26">
        <f t="shared" si="4"/>
        <v>46729818</v>
      </c>
      <c r="N138" s="27">
        <v>46729818</v>
      </c>
      <c r="O138" s="26">
        <v>0</v>
      </c>
      <c r="P138" s="26"/>
      <c r="Q138" s="26"/>
      <c r="R138" s="29" t="s">
        <v>36</v>
      </c>
      <c r="S138" s="29" t="s">
        <v>37</v>
      </c>
      <c r="T138" s="29"/>
      <c r="U138" s="29" t="s">
        <v>352</v>
      </c>
      <c r="V138" s="29" t="s">
        <v>165</v>
      </c>
      <c r="W138" s="29" t="s">
        <v>40</v>
      </c>
      <c r="X138" s="29" t="s">
        <v>41</v>
      </c>
      <c r="Y138" s="30" t="s">
        <v>166</v>
      </c>
      <c r="Z138" s="90" t="s">
        <v>43</v>
      </c>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row>
    <row r="139" spans="1:57" ht="42.75" customHeight="1" x14ac:dyDescent="0.25">
      <c r="A139" s="17" t="s">
        <v>348</v>
      </c>
      <c r="B139" s="86">
        <v>80131502</v>
      </c>
      <c r="C139" s="87" t="s">
        <v>408</v>
      </c>
      <c r="D139" s="20">
        <v>44071</v>
      </c>
      <c r="E139" s="92" t="s">
        <v>156</v>
      </c>
      <c r="F139" s="92" t="s">
        <v>252</v>
      </c>
      <c r="G139" s="93">
        <v>11.5</v>
      </c>
      <c r="H139" s="86" t="s">
        <v>32</v>
      </c>
      <c r="I139" s="87" t="s">
        <v>33</v>
      </c>
      <c r="J139" s="88" t="s">
        <v>388</v>
      </c>
      <c r="K139" s="46" t="s">
        <v>35</v>
      </c>
      <c r="L139" s="26">
        <f t="shared" si="3"/>
        <v>75352335</v>
      </c>
      <c r="M139" s="26">
        <f t="shared" si="4"/>
        <v>75352335</v>
      </c>
      <c r="N139" s="27">
        <v>75352335</v>
      </c>
      <c r="O139" s="26">
        <v>0</v>
      </c>
      <c r="P139" s="26"/>
      <c r="Q139" s="26"/>
      <c r="R139" s="29" t="s">
        <v>36</v>
      </c>
      <c r="S139" s="29" t="s">
        <v>37</v>
      </c>
      <c r="T139" s="29"/>
      <c r="U139" s="29" t="s">
        <v>352</v>
      </c>
      <c r="V139" s="29" t="s">
        <v>165</v>
      </c>
      <c r="W139" s="29" t="s">
        <v>40</v>
      </c>
      <c r="X139" s="29" t="s">
        <v>41</v>
      </c>
      <c r="Y139" s="30" t="s">
        <v>166</v>
      </c>
      <c r="Z139" s="90" t="s">
        <v>43</v>
      </c>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row>
    <row r="140" spans="1:57" ht="57" customHeight="1" x14ac:dyDescent="0.25">
      <c r="A140" s="17" t="s">
        <v>348</v>
      </c>
      <c r="B140" s="86">
        <v>80131502</v>
      </c>
      <c r="C140" s="87" t="s">
        <v>409</v>
      </c>
      <c r="D140" s="20">
        <v>44071</v>
      </c>
      <c r="E140" s="92" t="s">
        <v>156</v>
      </c>
      <c r="F140" s="92" t="s">
        <v>252</v>
      </c>
      <c r="G140" s="93">
        <v>11.5</v>
      </c>
      <c r="H140" s="86" t="s">
        <v>32</v>
      </c>
      <c r="I140" s="87" t="s">
        <v>33</v>
      </c>
      <c r="J140" s="88" t="s">
        <v>388</v>
      </c>
      <c r="K140" s="46" t="s">
        <v>35</v>
      </c>
      <c r="L140" s="26">
        <f t="shared" si="3"/>
        <v>55320000</v>
      </c>
      <c r="M140" s="26">
        <f t="shared" si="4"/>
        <v>55320000</v>
      </c>
      <c r="N140" s="26">
        <v>55320000</v>
      </c>
      <c r="O140" s="26"/>
      <c r="P140" s="26"/>
      <c r="Q140" s="26"/>
      <c r="R140" s="29" t="s">
        <v>36</v>
      </c>
      <c r="S140" s="29" t="s">
        <v>37</v>
      </c>
      <c r="T140" s="29"/>
      <c r="U140" s="29" t="s">
        <v>352</v>
      </c>
      <c r="V140" s="29" t="s">
        <v>165</v>
      </c>
      <c r="W140" s="29" t="s">
        <v>40</v>
      </c>
      <c r="X140" s="29" t="s">
        <v>41</v>
      </c>
      <c r="Y140" s="30" t="s">
        <v>166</v>
      </c>
      <c r="Z140" s="90" t="s">
        <v>43</v>
      </c>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row>
    <row r="141" spans="1:57" ht="57" customHeight="1" x14ac:dyDescent="0.25">
      <c r="A141" s="17" t="s">
        <v>348</v>
      </c>
      <c r="B141" s="86">
        <v>80131502</v>
      </c>
      <c r="C141" s="87" t="s">
        <v>410</v>
      </c>
      <c r="D141" s="20"/>
      <c r="E141" s="92"/>
      <c r="F141" s="92"/>
      <c r="G141" s="93">
        <v>11.5</v>
      </c>
      <c r="H141" s="86" t="s">
        <v>32</v>
      </c>
      <c r="I141" s="87" t="s">
        <v>33</v>
      </c>
      <c r="J141" s="88" t="s">
        <v>388</v>
      </c>
      <c r="K141" s="46" t="s">
        <v>35</v>
      </c>
      <c r="L141" s="26">
        <f t="shared" si="3"/>
        <v>72390332</v>
      </c>
      <c r="M141" s="26">
        <f t="shared" si="4"/>
        <v>72390332</v>
      </c>
      <c r="N141" s="26">
        <v>72390332</v>
      </c>
      <c r="O141" s="26">
        <v>0</v>
      </c>
      <c r="P141" s="26"/>
      <c r="Q141" s="26"/>
      <c r="R141" s="29" t="s">
        <v>36</v>
      </c>
      <c r="S141" s="29" t="s">
        <v>37</v>
      </c>
      <c r="T141" s="29"/>
      <c r="U141" s="29" t="s">
        <v>352</v>
      </c>
      <c r="V141" s="29" t="s">
        <v>165</v>
      </c>
      <c r="W141" s="29" t="s">
        <v>40</v>
      </c>
      <c r="X141" s="29" t="s">
        <v>41</v>
      </c>
      <c r="Y141" s="30" t="s">
        <v>166</v>
      </c>
      <c r="Z141" s="90" t="s">
        <v>43</v>
      </c>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row>
    <row r="142" spans="1:57" ht="57" customHeight="1" x14ac:dyDescent="0.25">
      <c r="A142" s="17" t="s">
        <v>348</v>
      </c>
      <c r="B142" s="86">
        <v>80131502</v>
      </c>
      <c r="C142" s="87" t="s">
        <v>411</v>
      </c>
      <c r="D142" s="20"/>
      <c r="E142" s="92"/>
      <c r="F142" s="92"/>
      <c r="G142" s="93">
        <v>11.5</v>
      </c>
      <c r="H142" s="86" t="s">
        <v>32</v>
      </c>
      <c r="I142" s="87" t="s">
        <v>33</v>
      </c>
      <c r="J142" s="88" t="s">
        <v>388</v>
      </c>
      <c r="K142" s="46" t="s">
        <v>35</v>
      </c>
      <c r="L142" s="26">
        <f t="shared" ref="L142:L182" si="5">+M142+P142+Q142</f>
        <v>48001625</v>
      </c>
      <c r="M142" s="26">
        <f t="shared" si="4"/>
        <v>48001625</v>
      </c>
      <c r="N142" s="26">
        <v>48001625</v>
      </c>
      <c r="O142" s="26">
        <v>0</v>
      </c>
      <c r="P142" s="26"/>
      <c r="Q142" s="26"/>
      <c r="R142" s="29" t="s">
        <v>36</v>
      </c>
      <c r="S142" s="29" t="s">
        <v>37</v>
      </c>
      <c r="T142" s="29"/>
      <c r="U142" s="29" t="s">
        <v>352</v>
      </c>
      <c r="V142" s="29" t="s">
        <v>165</v>
      </c>
      <c r="W142" s="29" t="s">
        <v>40</v>
      </c>
      <c r="X142" s="29" t="s">
        <v>41</v>
      </c>
      <c r="Y142" s="30" t="s">
        <v>166</v>
      </c>
      <c r="Z142" s="90" t="s">
        <v>43</v>
      </c>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row>
    <row r="143" spans="1:57" ht="57" customHeight="1" x14ac:dyDescent="0.25">
      <c r="A143" s="17" t="s">
        <v>348</v>
      </c>
      <c r="B143" s="86">
        <v>80131502</v>
      </c>
      <c r="C143" s="87" t="s">
        <v>412</v>
      </c>
      <c r="D143" s="20"/>
      <c r="E143" s="92"/>
      <c r="F143" s="92"/>
      <c r="G143" s="93">
        <v>11.5</v>
      </c>
      <c r="H143" s="86" t="s">
        <v>32</v>
      </c>
      <c r="I143" s="87" t="s">
        <v>33</v>
      </c>
      <c r="J143" s="88" t="s">
        <v>388</v>
      </c>
      <c r="K143" s="46" t="s">
        <v>35</v>
      </c>
      <c r="L143" s="26">
        <f t="shared" si="5"/>
        <v>93867658</v>
      </c>
      <c r="M143" s="26">
        <f t="shared" si="4"/>
        <v>93867658</v>
      </c>
      <c r="N143" s="26">
        <v>93867658</v>
      </c>
      <c r="O143" s="26">
        <v>0</v>
      </c>
      <c r="P143" s="26"/>
      <c r="Q143" s="26"/>
      <c r="R143" s="29" t="s">
        <v>36</v>
      </c>
      <c r="S143" s="29" t="s">
        <v>37</v>
      </c>
      <c r="T143" s="29"/>
      <c r="U143" s="29" t="s">
        <v>352</v>
      </c>
      <c r="V143" s="29" t="s">
        <v>165</v>
      </c>
      <c r="W143" s="29" t="s">
        <v>40</v>
      </c>
      <c r="X143" s="29" t="s">
        <v>41</v>
      </c>
      <c r="Y143" s="30" t="s">
        <v>166</v>
      </c>
      <c r="Z143" s="90" t="s">
        <v>43</v>
      </c>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row>
    <row r="144" spans="1:57" ht="57" customHeight="1" x14ac:dyDescent="0.25">
      <c r="A144" s="17" t="s">
        <v>348</v>
      </c>
      <c r="B144" s="86">
        <v>80131502</v>
      </c>
      <c r="C144" s="87" t="s">
        <v>413</v>
      </c>
      <c r="D144" s="20"/>
      <c r="E144" s="92"/>
      <c r="F144" s="92"/>
      <c r="G144" s="93">
        <v>11.5</v>
      </c>
      <c r="H144" s="86" t="s">
        <v>32</v>
      </c>
      <c r="I144" s="87" t="s">
        <v>33</v>
      </c>
      <c r="J144" s="88" t="s">
        <v>388</v>
      </c>
      <c r="K144" s="46" t="s">
        <v>35</v>
      </c>
      <c r="L144" s="26">
        <f t="shared" si="5"/>
        <v>93743005</v>
      </c>
      <c r="M144" s="26">
        <f t="shared" si="4"/>
        <v>93743005</v>
      </c>
      <c r="N144" s="26">
        <v>93743005</v>
      </c>
      <c r="O144" s="26">
        <v>0</v>
      </c>
      <c r="P144" s="26"/>
      <c r="Q144" s="26"/>
      <c r="R144" s="29" t="s">
        <v>36</v>
      </c>
      <c r="S144" s="29" t="s">
        <v>37</v>
      </c>
      <c r="T144" s="29"/>
      <c r="U144" s="29" t="s">
        <v>352</v>
      </c>
      <c r="V144" s="29" t="s">
        <v>165</v>
      </c>
      <c r="W144" s="29" t="s">
        <v>40</v>
      </c>
      <c r="X144" s="29" t="s">
        <v>41</v>
      </c>
      <c r="Y144" s="30" t="s">
        <v>166</v>
      </c>
      <c r="Z144" s="90" t="s">
        <v>43</v>
      </c>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row>
    <row r="145" spans="1:57" ht="57" customHeight="1" x14ac:dyDescent="0.25">
      <c r="A145" s="17" t="s">
        <v>348</v>
      </c>
      <c r="B145" s="86">
        <v>80131502</v>
      </c>
      <c r="C145" s="87" t="s">
        <v>414</v>
      </c>
      <c r="D145" s="20"/>
      <c r="E145" s="92"/>
      <c r="F145" s="92"/>
      <c r="G145" s="93">
        <v>11.5</v>
      </c>
      <c r="H145" s="86" t="s">
        <v>32</v>
      </c>
      <c r="I145" s="87" t="s">
        <v>33</v>
      </c>
      <c r="J145" s="88" t="s">
        <v>388</v>
      </c>
      <c r="K145" s="46" t="s">
        <v>35</v>
      </c>
      <c r="L145" s="26">
        <f t="shared" si="5"/>
        <v>92200000</v>
      </c>
      <c r="M145" s="26">
        <f t="shared" si="4"/>
        <v>92200000</v>
      </c>
      <c r="N145" s="26">
        <v>92200000</v>
      </c>
      <c r="O145" s="26">
        <v>0</v>
      </c>
      <c r="P145" s="26"/>
      <c r="Q145" s="26"/>
      <c r="R145" s="29" t="s">
        <v>36</v>
      </c>
      <c r="S145" s="29" t="s">
        <v>37</v>
      </c>
      <c r="T145" s="29"/>
      <c r="U145" s="29" t="s">
        <v>352</v>
      </c>
      <c r="V145" s="29" t="s">
        <v>165</v>
      </c>
      <c r="W145" s="29" t="s">
        <v>40</v>
      </c>
      <c r="X145" s="29" t="s">
        <v>41</v>
      </c>
      <c r="Y145" s="30" t="s">
        <v>166</v>
      </c>
      <c r="Z145" s="90" t="s">
        <v>43</v>
      </c>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row>
    <row r="146" spans="1:57" ht="42.75" customHeight="1" x14ac:dyDescent="0.25">
      <c r="A146" s="17" t="s">
        <v>348</v>
      </c>
      <c r="B146" s="86">
        <v>80131502</v>
      </c>
      <c r="C146" s="87" t="s">
        <v>415</v>
      </c>
      <c r="D146" s="20"/>
      <c r="E146" s="92"/>
      <c r="F146" s="92"/>
      <c r="G146" s="93">
        <v>11.5</v>
      </c>
      <c r="H146" s="86" t="s">
        <v>32</v>
      </c>
      <c r="I146" s="87" t="s">
        <v>33</v>
      </c>
      <c r="J146" s="88" t="s">
        <v>388</v>
      </c>
      <c r="K146" s="46" t="s">
        <v>35</v>
      </c>
      <c r="L146" s="26">
        <f t="shared" si="5"/>
        <v>104719354</v>
      </c>
      <c r="M146" s="26">
        <f t="shared" si="4"/>
        <v>104719354</v>
      </c>
      <c r="N146" s="26">
        <v>104719354</v>
      </c>
      <c r="O146" s="26">
        <v>0</v>
      </c>
      <c r="P146" s="26"/>
      <c r="Q146" s="26"/>
      <c r="R146" s="29" t="s">
        <v>36</v>
      </c>
      <c r="S146" s="29" t="s">
        <v>37</v>
      </c>
      <c r="T146" s="29"/>
      <c r="U146" s="29" t="s">
        <v>352</v>
      </c>
      <c r="V146" s="29" t="s">
        <v>165</v>
      </c>
      <c r="W146" s="29" t="s">
        <v>40</v>
      </c>
      <c r="X146" s="29" t="s">
        <v>41</v>
      </c>
      <c r="Y146" s="30" t="s">
        <v>166</v>
      </c>
      <c r="Z146" s="90" t="s">
        <v>43</v>
      </c>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row>
    <row r="147" spans="1:57" ht="57" customHeight="1" x14ac:dyDescent="0.25">
      <c r="A147" s="17" t="s">
        <v>348</v>
      </c>
      <c r="B147" s="86">
        <v>80131502</v>
      </c>
      <c r="C147" s="87" t="s">
        <v>416</v>
      </c>
      <c r="D147" s="20"/>
      <c r="E147" s="92"/>
      <c r="F147" s="92"/>
      <c r="G147" s="93">
        <v>11.5</v>
      </c>
      <c r="H147" s="86" t="s">
        <v>32</v>
      </c>
      <c r="I147" s="87" t="s">
        <v>33</v>
      </c>
      <c r="J147" s="88" t="s">
        <v>388</v>
      </c>
      <c r="K147" s="46" t="s">
        <v>35</v>
      </c>
      <c r="L147" s="26">
        <f t="shared" si="5"/>
        <v>219981925</v>
      </c>
      <c r="M147" s="26">
        <f t="shared" si="4"/>
        <v>219981925</v>
      </c>
      <c r="N147" s="26">
        <v>219981925</v>
      </c>
      <c r="O147" s="26"/>
      <c r="P147" s="26"/>
      <c r="Q147" s="26"/>
      <c r="R147" s="29" t="s">
        <v>36</v>
      </c>
      <c r="S147" s="29" t="s">
        <v>37</v>
      </c>
      <c r="T147" s="29"/>
      <c r="U147" s="29" t="s">
        <v>352</v>
      </c>
      <c r="V147" s="29" t="s">
        <v>165</v>
      </c>
      <c r="W147" s="29" t="s">
        <v>40</v>
      </c>
      <c r="X147" s="29" t="s">
        <v>41</v>
      </c>
      <c r="Y147" s="30" t="s">
        <v>166</v>
      </c>
      <c r="Z147" s="90" t="s">
        <v>43</v>
      </c>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row>
    <row r="148" spans="1:57" ht="57" customHeight="1" x14ac:dyDescent="0.25">
      <c r="A148" s="17" t="s">
        <v>348</v>
      </c>
      <c r="B148" s="86">
        <v>80131502</v>
      </c>
      <c r="C148" s="87" t="s">
        <v>417</v>
      </c>
      <c r="D148" s="20"/>
      <c r="E148" s="92"/>
      <c r="F148" s="92"/>
      <c r="G148" s="93">
        <v>11.5</v>
      </c>
      <c r="H148" s="86" t="s">
        <v>32</v>
      </c>
      <c r="I148" s="87" t="s">
        <v>33</v>
      </c>
      <c r="J148" s="88" t="s">
        <v>388</v>
      </c>
      <c r="K148" s="46" t="s">
        <v>35</v>
      </c>
      <c r="L148" s="26">
        <f t="shared" si="5"/>
        <v>77182130</v>
      </c>
      <c r="M148" s="26">
        <f t="shared" si="4"/>
        <v>77182130</v>
      </c>
      <c r="N148" s="26">
        <v>77182130</v>
      </c>
      <c r="O148" s="26">
        <v>0</v>
      </c>
      <c r="P148" s="26"/>
      <c r="Q148" s="26"/>
      <c r="R148" s="29" t="s">
        <v>36</v>
      </c>
      <c r="S148" s="29" t="s">
        <v>37</v>
      </c>
      <c r="T148" s="29"/>
      <c r="U148" s="29" t="s">
        <v>352</v>
      </c>
      <c r="V148" s="29" t="s">
        <v>165</v>
      </c>
      <c r="W148" s="29" t="s">
        <v>40</v>
      </c>
      <c r="X148" s="29" t="s">
        <v>41</v>
      </c>
      <c r="Y148" s="30" t="s">
        <v>166</v>
      </c>
      <c r="Z148" s="90" t="s">
        <v>43</v>
      </c>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row>
    <row r="149" spans="1:57" ht="57" customHeight="1" x14ac:dyDescent="0.25">
      <c r="A149" s="17" t="s">
        <v>348</v>
      </c>
      <c r="B149" s="86">
        <v>80131502</v>
      </c>
      <c r="C149" s="87" t="s">
        <v>418</v>
      </c>
      <c r="D149" s="20"/>
      <c r="E149" s="92"/>
      <c r="F149" s="92"/>
      <c r="G149" s="93">
        <v>11.5</v>
      </c>
      <c r="H149" s="86" t="s">
        <v>32</v>
      </c>
      <c r="I149" s="87" t="s">
        <v>33</v>
      </c>
      <c r="J149" s="88" t="s">
        <v>388</v>
      </c>
      <c r="K149" s="46" t="s">
        <v>35</v>
      </c>
      <c r="L149" s="26">
        <f t="shared" si="5"/>
        <v>124382619</v>
      </c>
      <c r="M149" s="26">
        <f t="shared" si="4"/>
        <v>124382619</v>
      </c>
      <c r="N149" s="26">
        <v>124382619</v>
      </c>
      <c r="O149" s="26">
        <v>0</v>
      </c>
      <c r="P149" s="26"/>
      <c r="Q149" s="26"/>
      <c r="R149" s="29" t="s">
        <v>36</v>
      </c>
      <c r="S149" s="29" t="s">
        <v>37</v>
      </c>
      <c r="T149" s="29"/>
      <c r="U149" s="29" t="s">
        <v>352</v>
      </c>
      <c r="V149" s="29" t="s">
        <v>165</v>
      </c>
      <c r="W149" s="29" t="s">
        <v>40</v>
      </c>
      <c r="X149" s="29" t="s">
        <v>41</v>
      </c>
      <c r="Y149" s="30" t="s">
        <v>166</v>
      </c>
      <c r="Z149" s="90" t="s">
        <v>43</v>
      </c>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row>
    <row r="150" spans="1:57" ht="42.75" customHeight="1" x14ac:dyDescent="0.25">
      <c r="A150" s="17" t="s">
        <v>348</v>
      </c>
      <c r="B150" s="86">
        <v>80131502</v>
      </c>
      <c r="C150" s="87" t="s">
        <v>419</v>
      </c>
      <c r="D150" s="20"/>
      <c r="E150" s="92"/>
      <c r="F150" s="92"/>
      <c r="G150" s="93">
        <v>11.5</v>
      </c>
      <c r="H150" s="86" t="s">
        <v>32</v>
      </c>
      <c r="I150" s="87" t="s">
        <v>33</v>
      </c>
      <c r="J150" s="88" t="s">
        <v>388</v>
      </c>
      <c r="K150" s="46" t="s">
        <v>35</v>
      </c>
      <c r="L150" s="26">
        <f t="shared" si="5"/>
        <v>50387578</v>
      </c>
      <c r="M150" s="26">
        <f t="shared" si="4"/>
        <v>50387578</v>
      </c>
      <c r="N150" s="26">
        <v>50387578</v>
      </c>
      <c r="O150" s="26">
        <v>0</v>
      </c>
      <c r="P150" s="26"/>
      <c r="Q150" s="26"/>
      <c r="R150" s="29" t="s">
        <v>36</v>
      </c>
      <c r="S150" s="29" t="s">
        <v>37</v>
      </c>
      <c r="T150" s="29"/>
      <c r="U150" s="29" t="s">
        <v>352</v>
      </c>
      <c r="V150" s="29" t="s">
        <v>165</v>
      </c>
      <c r="W150" s="29" t="s">
        <v>40</v>
      </c>
      <c r="X150" s="29" t="s">
        <v>41</v>
      </c>
      <c r="Y150" s="30" t="s">
        <v>166</v>
      </c>
      <c r="Z150" s="90" t="s">
        <v>43</v>
      </c>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row>
    <row r="151" spans="1:57" ht="57" customHeight="1" x14ac:dyDescent="0.25">
      <c r="A151" s="17" t="s">
        <v>348</v>
      </c>
      <c r="B151" s="86">
        <v>80131502</v>
      </c>
      <c r="C151" s="87" t="s">
        <v>420</v>
      </c>
      <c r="D151" s="20"/>
      <c r="E151" s="92"/>
      <c r="F151" s="92"/>
      <c r="G151" s="93">
        <v>11.5</v>
      </c>
      <c r="H151" s="86" t="s">
        <v>32</v>
      </c>
      <c r="I151" s="87" t="s">
        <v>33</v>
      </c>
      <c r="J151" s="88" t="s">
        <v>388</v>
      </c>
      <c r="K151" s="46" t="s">
        <v>35</v>
      </c>
      <c r="L151" s="26">
        <f t="shared" si="5"/>
        <v>116256294</v>
      </c>
      <c r="M151" s="26">
        <f t="shared" si="4"/>
        <v>116256294</v>
      </c>
      <c r="N151" s="26">
        <v>116256294</v>
      </c>
      <c r="O151" s="26">
        <v>0</v>
      </c>
      <c r="P151" s="26"/>
      <c r="Q151" s="26"/>
      <c r="R151" s="29" t="s">
        <v>36</v>
      </c>
      <c r="S151" s="29" t="s">
        <v>37</v>
      </c>
      <c r="T151" s="29"/>
      <c r="U151" s="29" t="s">
        <v>352</v>
      </c>
      <c r="V151" s="29" t="s">
        <v>165</v>
      </c>
      <c r="W151" s="29" t="s">
        <v>40</v>
      </c>
      <c r="X151" s="29" t="s">
        <v>41</v>
      </c>
      <c r="Y151" s="30" t="s">
        <v>166</v>
      </c>
      <c r="Z151" s="90" t="s">
        <v>43</v>
      </c>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row>
    <row r="152" spans="1:57" ht="57" customHeight="1" x14ac:dyDescent="0.25">
      <c r="A152" s="17" t="s">
        <v>348</v>
      </c>
      <c r="B152" s="86">
        <v>80131502</v>
      </c>
      <c r="C152" s="87" t="s">
        <v>421</v>
      </c>
      <c r="D152" s="20"/>
      <c r="E152" s="92"/>
      <c r="F152" s="92"/>
      <c r="G152" s="93">
        <v>11.5</v>
      </c>
      <c r="H152" s="86" t="s">
        <v>32</v>
      </c>
      <c r="I152" s="87" t="s">
        <v>33</v>
      </c>
      <c r="J152" s="88" t="s">
        <v>388</v>
      </c>
      <c r="K152" s="46" t="s">
        <v>35</v>
      </c>
      <c r="L152" s="26">
        <f t="shared" si="5"/>
        <v>91852706</v>
      </c>
      <c r="M152" s="26">
        <f t="shared" si="4"/>
        <v>91852706</v>
      </c>
      <c r="N152" s="26">
        <v>91852706</v>
      </c>
      <c r="O152" s="26">
        <v>0</v>
      </c>
      <c r="P152" s="26"/>
      <c r="Q152" s="26"/>
      <c r="R152" s="29" t="s">
        <v>36</v>
      </c>
      <c r="S152" s="29" t="s">
        <v>37</v>
      </c>
      <c r="T152" s="29"/>
      <c r="U152" s="29" t="s">
        <v>352</v>
      </c>
      <c r="V152" s="29" t="s">
        <v>165</v>
      </c>
      <c r="W152" s="29" t="s">
        <v>40</v>
      </c>
      <c r="X152" s="29" t="s">
        <v>41</v>
      </c>
      <c r="Y152" s="30" t="s">
        <v>166</v>
      </c>
      <c r="Z152" s="90" t="s">
        <v>43</v>
      </c>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row>
    <row r="153" spans="1:57" ht="57" customHeight="1" x14ac:dyDescent="0.25">
      <c r="A153" s="17" t="s">
        <v>348</v>
      </c>
      <c r="B153" s="86">
        <v>80131502</v>
      </c>
      <c r="C153" s="87" t="s">
        <v>422</v>
      </c>
      <c r="D153" s="20"/>
      <c r="E153" s="92"/>
      <c r="F153" s="92"/>
      <c r="G153" s="93">
        <v>11.5</v>
      </c>
      <c r="H153" s="86" t="s">
        <v>32</v>
      </c>
      <c r="I153" s="87" t="s">
        <v>33</v>
      </c>
      <c r="J153" s="88" t="s">
        <v>388</v>
      </c>
      <c r="K153" s="46" t="s">
        <v>35</v>
      </c>
      <c r="L153" s="26">
        <f t="shared" si="5"/>
        <v>78324717</v>
      </c>
      <c r="M153" s="26">
        <f t="shared" si="4"/>
        <v>78324717</v>
      </c>
      <c r="N153" s="26">
        <v>78324717</v>
      </c>
      <c r="O153" s="26">
        <v>0</v>
      </c>
      <c r="P153" s="26"/>
      <c r="Q153" s="26"/>
      <c r="R153" s="29" t="s">
        <v>36</v>
      </c>
      <c r="S153" s="29" t="s">
        <v>37</v>
      </c>
      <c r="T153" s="29"/>
      <c r="U153" s="29" t="s">
        <v>352</v>
      </c>
      <c r="V153" s="29" t="s">
        <v>165</v>
      </c>
      <c r="W153" s="29" t="s">
        <v>40</v>
      </c>
      <c r="X153" s="29" t="s">
        <v>41</v>
      </c>
      <c r="Y153" s="30" t="s">
        <v>166</v>
      </c>
      <c r="Z153" s="90" t="s">
        <v>43</v>
      </c>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row>
    <row r="154" spans="1:57" ht="57" customHeight="1" x14ac:dyDescent="0.25">
      <c r="A154" s="17" t="s">
        <v>348</v>
      </c>
      <c r="B154" s="86">
        <v>80131502</v>
      </c>
      <c r="C154" s="87" t="s">
        <v>423</v>
      </c>
      <c r="D154" s="20"/>
      <c r="E154" s="92"/>
      <c r="F154" s="92"/>
      <c r="G154" s="93">
        <v>11.5</v>
      </c>
      <c r="H154" s="86" t="s">
        <v>32</v>
      </c>
      <c r="I154" s="87" t="s">
        <v>33</v>
      </c>
      <c r="J154" s="88" t="s">
        <v>388</v>
      </c>
      <c r="K154" s="46" t="s">
        <v>35</v>
      </c>
      <c r="L154" s="26">
        <f t="shared" si="5"/>
        <v>133943158</v>
      </c>
      <c r="M154" s="26">
        <f t="shared" si="4"/>
        <v>133943158</v>
      </c>
      <c r="N154" s="26">
        <v>133943158</v>
      </c>
      <c r="O154" s="26">
        <v>0</v>
      </c>
      <c r="P154" s="26"/>
      <c r="Q154" s="26"/>
      <c r="R154" s="29" t="s">
        <v>36</v>
      </c>
      <c r="S154" s="29" t="s">
        <v>37</v>
      </c>
      <c r="T154" s="29"/>
      <c r="U154" s="29" t="s">
        <v>352</v>
      </c>
      <c r="V154" s="29" t="s">
        <v>165</v>
      </c>
      <c r="W154" s="29" t="s">
        <v>40</v>
      </c>
      <c r="X154" s="29" t="s">
        <v>41</v>
      </c>
      <c r="Y154" s="30" t="s">
        <v>166</v>
      </c>
      <c r="Z154" s="90" t="s">
        <v>43</v>
      </c>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row>
    <row r="155" spans="1:57" ht="57" customHeight="1" x14ac:dyDescent="0.25">
      <c r="A155" s="17" t="s">
        <v>348</v>
      </c>
      <c r="B155" s="86">
        <v>80131502</v>
      </c>
      <c r="C155" s="87" t="s">
        <v>424</v>
      </c>
      <c r="D155" s="20"/>
      <c r="E155" s="92"/>
      <c r="F155" s="92"/>
      <c r="G155" s="93">
        <v>11.5</v>
      </c>
      <c r="H155" s="86" t="s">
        <v>32</v>
      </c>
      <c r="I155" s="87" t="s">
        <v>33</v>
      </c>
      <c r="J155" s="88" t="s">
        <v>388</v>
      </c>
      <c r="K155" s="46" t="s">
        <v>35</v>
      </c>
      <c r="L155" s="26">
        <f t="shared" si="5"/>
        <v>71894817</v>
      </c>
      <c r="M155" s="26">
        <f t="shared" si="4"/>
        <v>71894817</v>
      </c>
      <c r="N155" s="26">
        <v>71894817</v>
      </c>
      <c r="O155" s="26">
        <v>0</v>
      </c>
      <c r="P155" s="26"/>
      <c r="Q155" s="26"/>
      <c r="R155" s="29" t="s">
        <v>36</v>
      </c>
      <c r="S155" s="29" t="s">
        <v>37</v>
      </c>
      <c r="T155" s="29"/>
      <c r="U155" s="29" t="s">
        <v>352</v>
      </c>
      <c r="V155" s="29" t="s">
        <v>165</v>
      </c>
      <c r="W155" s="29" t="s">
        <v>40</v>
      </c>
      <c r="X155" s="29" t="s">
        <v>41</v>
      </c>
      <c r="Y155" s="30" t="s">
        <v>166</v>
      </c>
      <c r="Z155" s="90" t="s">
        <v>43</v>
      </c>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row>
    <row r="156" spans="1:57" ht="57" customHeight="1" x14ac:dyDescent="0.25">
      <c r="A156" s="17" t="s">
        <v>348</v>
      </c>
      <c r="B156" s="86">
        <v>80131502</v>
      </c>
      <c r="C156" s="87" t="s">
        <v>425</v>
      </c>
      <c r="D156" s="20"/>
      <c r="E156" s="92"/>
      <c r="F156" s="92"/>
      <c r="G156" s="93">
        <v>11.5</v>
      </c>
      <c r="H156" s="86" t="s">
        <v>32</v>
      </c>
      <c r="I156" s="87" t="s">
        <v>33</v>
      </c>
      <c r="J156" s="88" t="s">
        <v>388</v>
      </c>
      <c r="K156" s="46" t="s">
        <v>35</v>
      </c>
      <c r="L156" s="26">
        <f t="shared" si="5"/>
        <v>40343380</v>
      </c>
      <c r="M156" s="26">
        <f t="shared" si="4"/>
        <v>40343380</v>
      </c>
      <c r="N156" s="26">
        <v>40343380</v>
      </c>
      <c r="O156" s="26">
        <v>0</v>
      </c>
      <c r="P156" s="26"/>
      <c r="Q156" s="26"/>
      <c r="R156" s="29" t="s">
        <v>36</v>
      </c>
      <c r="S156" s="29" t="s">
        <v>37</v>
      </c>
      <c r="T156" s="29"/>
      <c r="U156" s="29" t="s">
        <v>352</v>
      </c>
      <c r="V156" s="29" t="s">
        <v>165</v>
      </c>
      <c r="W156" s="29" t="s">
        <v>40</v>
      </c>
      <c r="X156" s="29" t="s">
        <v>41</v>
      </c>
      <c r="Y156" s="30" t="s">
        <v>166</v>
      </c>
      <c r="Z156" s="90" t="s">
        <v>43</v>
      </c>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row>
    <row r="157" spans="1:57" ht="57" customHeight="1" x14ac:dyDescent="0.25">
      <c r="A157" s="17" t="s">
        <v>348</v>
      </c>
      <c r="B157" s="86">
        <v>80131502</v>
      </c>
      <c r="C157" s="87" t="s">
        <v>426</v>
      </c>
      <c r="D157" s="20"/>
      <c r="E157" s="92"/>
      <c r="F157" s="92"/>
      <c r="G157" s="93">
        <v>11.5</v>
      </c>
      <c r="H157" s="86" t="s">
        <v>32</v>
      </c>
      <c r="I157" s="87" t="s">
        <v>33</v>
      </c>
      <c r="J157" s="88" t="s">
        <v>388</v>
      </c>
      <c r="K157" s="46" t="s">
        <v>35</v>
      </c>
      <c r="L157" s="26">
        <f t="shared" si="5"/>
        <v>61563696</v>
      </c>
      <c r="M157" s="26">
        <f t="shared" si="4"/>
        <v>61563696</v>
      </c>
      <c r="N157" s="26">
        <v>61563696</v>
      </c>
      <c r="O157" s="26">
        <v>0</v>
      </c>
      <c r="P157" s="26"/>
      <c r="Q157" s="26"/>
      <c r="R157" s="29" t="s">
        <v>36</v>
      </c>
      <c r="S157" s="29" t="s">
        <v>37</v>
      </c>
      <c r="T157" s="29"/>
      <c r="U157" s="29" t="s">
        <v>352</v>
      </c>
      <c r="V157" s="29" t="s">
        <v>165</v>
      </c>
      <c r="W157" s="29" t="s">
        <v>40</v>
      </c>
      <c r="X157" s="29" t="s">
        <v>41</v>
      </c>
      <c r="Y157" s="30" t="s">
        <v>166</v>
      </c>
      <c r="Z157" s="90" t="s">
        <v>43</v>
      </c>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row>
    <row r="158" spans="1:57" ht="42.75" customHeight="1" x14ac:dyDescent="0.25">
      <c r="A158" s="17" t="s">
        <v>348</v>
      </c>
      <c r="B158" s="86">
        <v>80131502</v>
      </c>
      <c r="C158" s="19" t="s">
        <v>427</v>
      </c>
      <c r="D158" s="20">
        <v>44022</v>
      </c>
      <c r="E158" s="92" t="s">
        <v>386</v>
      </c>
      <c r="F158" s="92" t="s">
        <v>386</v>
      </c>
      <c r="G158" s="30">
        <v>15</v>
      </c>
      <c r="H158" s="86" t="s">
        <v>27</v>
      </c>
      <c r="I158" s="87" t="s">
        <v>124</v>
      </c>
      <c r="J158" s="88" t="s">
        <v>388</v>
      </c>
      <c r="K158" s="46" t="s">
        <v>35</v>
      </c>
      <c r="L158" s="26">
        <f t="shared" si="5"/>
        <v>3291602382.0666671</v>
      </c>
      <c r="M158" s="26">
        <f t="shared" si="4"/>
        <v>89565698</v>
      </c>
      <c r="N158" s="26">
        <f>111883560-40000000</f>
        <v>71883560</v>
      </c>
      <c r="O158" s="96">
        <f>24682138-7000000</f>
        <v>17682138</v>
      </c>
      <c r="P158" s="26">
        <f>2585800394+574656290.066667+41580000</f>
        <v>3202036684.0666671</v>
      </c>
      <c r="Q158" s="26"/>
      <c r="R158" s="55" t="s">
        <v>356</v>
      </c>
      <c r="S158" s="55" t="s">
        <v>173</v>
      </c>
      <c r="T158" s="29"/>
      <c r="U158" s="29" t="s">
        <v>352</v>
      </c>
      <c r="V158" s="29" t="s">
        <v>165</v>
      </c>
      <c r="W158" s="29" t="s">
        <v>40</v>
      </c>
      <c r="X158" s="29" t="s">
        <v>41</v>
      </c>
      <c r="Y158" s="30" t="s">
        <v>166</v>
      </c>
      <c r="Z158" s="90" t="s">
        <v>43</v>
      </c>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row>
    <row r="159" spans="1:57" ht="42.75" customHeight="1" x14ac:dyDescent="0.25">
      <c r="A159" s="17" t="s">
        <v>348</v>
      </c>
      <c r="B159" s="86">
        <v>72102900</v>
      </c>
      <c r="C159" s="87" t="s">
        <v>428</v>
      </c>
      <c r="D159" s="20">
        <v>43896</v>
      </c>
      <c r="E159" s="97" t="s">
        <v>64</v>
      </c>
      <c r="F159" s="97" t="s">
        <v>429</v>
      </c>
      <c r="G159" s="22">
        <v>6</v>
      </c>
      <c r="H159" s="46" t="s">
        <v>32</v>
      </c>
      <c r="I159" s="88" t="s">
        <v>187</v>
      </c>
      <c r="J159" s="88" t="s">
        <v>430</v>
      </c>
      <c r="K159" s="46" t="s">
        <v>431</v>
      </c>
      <c r="L159" s="26">
        <f t="shared" si="5"/>
        <v>87054524</v>
      </c>
      <c r="M159" s="26">
        <f t="shared" si="4"/>
        <v>87054524</v>
      </c>
      <c r="N159" s="71">
        <f>84054524+3000000</f>
        <v>87054524</v>
      </c>
      <c r="O159" s="26">
        <v>0</v>
      </c>
      <c r="P159" s="26"/>
      <c r="Q159" s="26"/>
      <c r="R159" s="29" t="s">
        <v>36</v>
      </c>
      <c r="S159" s="29" t="s">
        <v>37</v>
      </c>
      <c r="T159" s="29" t="s">
        <v>67</v>
      </c>
      <c r="U159" s="29" t="s">
        <v>352</v>
      </c>
      <c r="V159" s="29" t="s">
        <v>165</v>
      </c>
      <c r="W159" s="29" t="s">
        <v>40</v>
      </c>
      <c r="X159" s="29" t="s">
        <v>41</v>
      </c>
      <c r="Y159" s="30" t="s">
        <v>166</v>
      </c>
      <c r="Z159" s="90" t="s">
        <v>43</v>
      </c>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row>
    <row r="160" spans="1:57" ht="42.75" customHeight="1" x14ac:dyDescent="0.25">
      <c r="A160" s="17" t="s">
        <v>348</v>
      </c>
      <c r="B160" s="86">
        <v>72102900</v>
      </c>
      <c r="C160" s="87" t="s">
        <v>432</v>
      </c>
      <c r="D160" s="20">
        <v>43896</v>
      </c>
      <c r="E160" s="97" t="s">
        <v>64</v>
      </c>
      <c r="F160" s="97" t="s">
        <v>429</v>
      </c>
      <c r="G160" s="22">
        <v>6</v>
      </c>
      <c r="H160" s="98" t="s">
        <v>32</v>
      </c>
      <c r="I160" s="88" t="s">
        <v>187</v>
      </c>
      <c r="J160" s="88" t="s">
        <v>430</v>
      </c>
      <c r="K160" s="67" t="s">
        <v>35</v>
      </c>
      <c r="L160" s="26">
        <f t="shared" si="5"/>
        <v>33000000</v>
      </c>
      <c r="M160" s="26">
        <f t="shared" si="4"/>
        <v>33000000</v>
      </c>
      <c r="N160" s="26"/>
      <c r="O160" s="71">
        <v>33000000</v>
      </c>
      <c r="P160" s="26"/>
      <c r="Q160" s="26"/>
      <c r="R160" s="29" t="s">
        <v>36</v>
      </c>
      <c r="S160" s="29" t="s">
        <v>37</v>
      </c>
      <c r="T160" s="29" t="s">
        <v>67</v>
      </c>
      <c r="U160" s="29" t="s">
        <v>352</v>
      </c>
      <c r="V160" s="29" t="s">
        <v>165</v>
      </c>
      <c r="W160" s="29" t="s">
        <v>40</v>
      </c>
      <c r="X160" s="29" t="s">
        <v>41</v>
      </c>
      <c r="Y160" s="30" t="s">
        <v>166</v>
      </c>
      <c r="Z160" s="90" t="s">
        <v>43</v>
      </c>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row>
    <row r="161" spans="1:57" ht="57" customHeight="1" x14ac:dyDescent="0.25">
      <c r="A161" s="17" t="s">
        <v>348</v>
      </c>
      <c r="B161" s="86">
        <v>56101700</v>
      </c>
      <c r="C161" s="87" t="s">
        <v>433</v>
      </c>
      <c r="D161" s="20">
        <v>43896</v>
      </c>
      <c r="E161" s="97" t="s">
        <v>64</v>
      </c>
      <c r="F161" s="97" t="s">
        <v>429</v>
      </c>
      <c r="G161" s="22">
        <v>6</v>
      </c>
      <c r="H161" s="98" t="s">
        <v>32</v>
      </c>
      <c r="I161" s="88" t="s">
        <v>191</v>
      </c>
      <c r="J161" s="88" t="s">
        <v>434</v>
      </c>
      <c r="K161" s="46" t="s">
        <v>435</v>
      </c>
      <c r="L161" s="26">
        <f>+M161+P161+Q161</f>
        <v>41297106</v>
      </c>
      <c r="M161" s="26">
        <f t="shared" si="4"/>
        <v>41297106</v>
      </c>
      <c r="N161" s="26">
        <v>41297106</v>
      </c>
      <c r="O161" s="80"/>
      <c r="P161" s="111"/>
      <c r="Q161" s="47"/>
      <c r="R161" s="29" t="s">
        <v>36</v>
      </c>
      <c r="S161" s="29" t="s">
        <v>37</v>
      </c>
      <c r="T161" s="29" t="s">
        <v>67</v>
      </c>
      <c r="U161" s="29" t="s">
        <v>352</v>
      </c>
      <c r="V161" s="29" t="s">
        <v>165</v>
      </c>
      <c r="W161" s="29" t="s">
        <v>40</v>
      </c>
      <c r="X161" s="29" t="s">
        <v>41</v>
      </c>
      <c r="Y161" s="30" t="s">
        <v>166</v>
      </c>
      <c r="Z161" s="90" t="s">
        <v>43</v>
      </c>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row>
    <row r="162" spans="1:57" ht="42.75" customHeight="1" x14ac:dyDescent="0.25">
      <c r="A162" s="17" t="s">
        <v>348</v>
      </c>
      <c r="B162" s="86">
        <v>72102900</v>
      </c>
      <c r="C162" s="87" t="s">
        <v>436</v>
      </c>
      <c r="D162" s="20">
        <v>43896</v>
      </c>
      <c r="E162" s="97" t="s">
        <v>64</v>
      </c>
      <c r="F162" s="97" t="s">
        <v>429</v>
      </c>
      <c r="G162" s="22">
        <v>6</v>
      </c>
      <c r="H162" s="98" t="s">
        <v>32</v>
      </c>
      <c r="I162" s="88" t="s">
        <v>187</v>
      </c>
      <c r="J162" s="88" t="s">
        <v>437</v>
      </c>
      <c r="K162" s="46" t="s">
        <v>435</v>
      </c>
      <c r="L162" s="26">
        <f t="shared" si="5"/>
        <v>12918065</v>
      </c>
      <c r="M162" s="26">
        <f t="shared" si="4"/>
        <v>12918065</v>
      </c>
      <c r="N162" s="26">
        <v>12918065</v>
      </c>
      <c r="O162" s="80"/>
      <c r="P162" s="26"/>
      <c r="Q162" s="26"/>
      <c r="R162" s="29" t="s">
        <v>36</v>
      </c>
      <c r="S162" s="29" t="s">
        <v>37</v>
      </c>
      <c r="T162" s="29"/>
      <c r="U162" s="29" t="s">
        <v>352</v>
      </c>
      <c r="V162" s="29" t="s">
        <v>165</v>
      </c>
      <c r="W162" s="29" t="s">
        <v>40</v>
      </c>
      <c r="X162" s="29" t="s">
        <v>41</v>
      </c>
      <c r="Y162" s="30" t="s">
        <v>166</v>
      </c>
      <c r="Z162" s="90" t="s">
        <v>43</v>
      </c>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row>
    <row r="163" spans="1:57" ht="42.75" customHeight="1" x14ac:dyDescent="0.25">
      <c r="A163" s="17" t="s">
        <v>348</v>
      </c>
      <c r="B163" s="89" t="s">
        <v>438</v>
      </c>
      <c r="C163" s="87" t="s">
        <v>439</v>
      </c>
      <c r="D163" s="20">
        <v>43924</v>
      </c>
      <c r="E163" s="51" t="s">
        <v>183</v>
      </c>
      <c r="F163" s="52" t="s">
        <v>155</v>
      </c>
      <c r="G163" s="22">
        <v>2</v>
      </c>
      <c r="H163" s="98" t="s">
        <v>32</v>
      </c>
      <c r="I163" s="88" t="s">
        <v>200</v>
      </c>
      <c r="J163" s="88" t="s">
        <v>440</v>
      </c>
      <c r="K163" s="89" t="s">
        <v>441</v>
      </c>
      <c r="L163" s="26">
        <f t="shared" si="5"/>
        <v>10000000</v>
      </c>
      <c r="M163" s="26">
        <f t="shared" si="4"/>
        <v>10000000</v>
      </c>
      <c r="N163" s="99">
        <v>10000000</v>
      </c>
      <c r="O163" s="26">
        <v>0</v>
      </c>
      <c r="P163" s="26"/>
      <c r="Q163" s="26"/>
      <c r="R163" s="29" t="s">
        <v>36</v>
      </c>
      <c r="S163" s="29" t="s">
        <v>37</v>
      </c>
      <c r="T163" s="29"/>
      <c r="U163" s="29" t="s">
        <v>352</v>
      </c>
      <c r="V163" s="29" t="s">
        <v>165</v>
      </c>
      <c r="W163" s="29" t="s">
        <v>40</v>
      </c>
      <c r="X163" s="29" t="s">
        <v>41</v>
      </c>
      <c r="Y163" s="30" t="s">
        <v>166</v>
      </c>
      <c r="Z163" s="90" t="s">
        <v>43</v>
      </c>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row>
    <row r="164" spans="1:57" ht="42.75" customHeight="1" x14ac:dyDescent="0.25">
      <c r="A164" s="17" t="s">
        <v>348</v>
      </c>
      <c r="B164" s="86" t="s">
        <v>442</v>
      </c>
      <c r="C164" s="87" t="s">
        <v>443</v>
      </c>
      <c r="D164" s="20">
        <v>44012</v>
      </c>
      <c r="E164" s="51" t="s">
        <v>183</v>
      </c>
      <c r="F164" s="52" t="s">
        <v>155</v>
      </c>
      <c r="G164" s="22">
        <v>2</v>
      </c>
      <c r="H164" s="98" t="s">
        <v>32</v>
      </c>
      <c r="I164" s="88" t="s">
        <v>200</v>
      </c>
      <c r="J164" s="88" t="s">
        <v>440</v>
      </c>
      <c r="K164" s="46" t="s">
        <v>271</v>
      </c>
      <c r="L164" s="26">
        <f t="shared" si="5"/>
        <v>50000000</v>
      </c>
      <c r="M164" s="26">
        <f t="shared" si="4"/>
        <v>50000000</v>
      </c>
      <c r="N164" s="99">
        <v>50000000</v>
      </c>
      <c r="O164" s="26">
        <v>0</v>
      </c>
      <c r="P164" s="26"/>
      <c r="Q164" s="26"/>
      <c r="R164" s="29" t="s">
        <v>36</v>
      </c>
      <c r="S164" s="29" t="s">
        <v>37</v>
      </c>
      <c r="T164" s="29"/>
      <c r="U164" s="29" t="s">
        <v>352</v>
      </c>
      <c r="V164" s="29" t="s">
        <v>165</v>
      </c>
      <c r="W164" s="29" t="s">
        <v>40</v>
      </c>
      <c r="X164" s="29" t="s">
        <v>41</v>
      </c>
      <c r="Y164" s="30" t="s">
        <v>166</v>
      </c>
      <c r="Z164" s="90" t="s">
        <v>43</v>
      </c>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row>
    <row r="165" spans="1:57" ht="57.75" customHeight="1" x14ac:dyDescent="0.25">
      <c r="A165" s="17" t="s">
        <v>348</v>
      </c>
      <c r="B165" s="89" t="s">
        <v>444</v>
      </c>
      <c r="C165" s="87" t="s">
        <v>445</v>
      </c>
      <c r="D165" s="20">
        <v>43896</v>
      </c>
      <c r="E165" s="97" t="s">
        <v>64</v>
      </c>
      <c r="F165" s="97" t="s">
        <v>50</v>
      </c>
      <c r="G165" s="22">
        <v>6</v>
      </c>
      <c r="H165" s="98" t="s">
        <v>32</v>
      </c>
      <c r="I165" s="87" t="s">
        <v>191</v>
      </c>
      <c r="J165" s="88" t="s">
        <v>446</v>
      </c>
      <c r="K165" s="91" t="s">
        <v>35</v>
      </c>
      <c r="L165" s="26">
        <f t="shared" si="5"/>
        <v>112598574</v>
      </c>
      <c r="M165" s="26">
        <f t="shared" si="4"/>
        <v>112598574</v>
      </c>
      <c r="N165" s="99">
        <v>112598574</v>
      </c>
      <c r="O165" s="26">
        <v>0</v>
      </c>
      <c r="P165" s="26"/>
      <c r="Q165" s="26"/>
      <c r="R165" s="29" t="s">
        <v>36</v>
      </c>
      <c r="S165" s="29" t="s">
        <v>37</v>
      </c>
      <c r="T165" s="29" t="s">
        <v>67</v>
      </c>
      <c r="U165" s="29" t="s">
        <v>352</v>
      </c>
      <c r="V165" s="29" t="s">
        <v>165</v>
      </c>
      <c r="W165" s="29" t="s">
        <v>40</v>
      </c>
      <c r="X165" s="29" t="s">
        <v>41</v>
      </c>
      <c r="Y165" s="30" t="s">
        <v>166</v>
      </c>
      <c r="Z165" s="90" t="s">
        <v>43</v>
      </c>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row>
    <row r="166" spans="1:57" ht="42.75" customHeight="1" x14ac:dyDescent="0.25">
      <c r="A166" s="17" t="s">
        <v>348</v>
      </c>
      <c r="B166" s="86" t="s">
        <v>447</v>
      </c>
      <c r="C166" s="87" t="s">
        <v>448</v>
      </c>
      <c r="D166" s="20">
        <v>43896</v>
      </c>
      <c r="E166" s="97" t="s">
        <v>64</v>
      </c>
      <c r="F166" s="97" t="s">
        <v>50</v>
      </c>
      <c r="G166" s="22">
        <v>7</v>
      </c>
      <c r="H166" s="98" t="s">
        <v>32</v>
      </c>
      <c r="I166" s="88" t="s">
        <v>187</v>
      </c>
      <c r="J166" s="88" t="s">
        <v>449</v>
      </c>
      <c r="K166" s="46" t="s">
        <v>450</v>
      </c>
      <c r="L166" s="26">
        <f t="shared" si="5"/>
        <v>5000000</v>
      </c>
      <c r="M166" s="26">
        <f t="shared" si="4"/>
        <v>5000000</v>
      </c>
      <c r="N166" s="71">
        <f>12700000-7700000</f>
        <v>5000000</v>
      </c>
      <c r="O166" s="26">
        <v>0</v>
      </c>
      <c r="P166" s="26"/>
      <c r="Q166" s="26"/>
      <c r="R166" s="29" t="s">
        <v>36</v>
      </c>
      <c r="S166" s="29" t="s">
        <v>37</v>
      </c>
      <c r="T166" s="29"/>
      <c r="U166" s="29" t="s">
        <v>352</v>
      </c>
      <c r="V166" s="29" t="s">
        <v>165</v>
      </c>
      <c r="W166" s="29" t="s">
        <v>40</v>
      </c>
      <c r="X166" s="29" t="s">
        <v>41</v>
      </c>
      <c r="Y166" s="30" t="s">
        <v>166</v>
      </c>
      <c r="Z166" s="90" t="s">
        <v>43</v>
      </c>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row>
    <row r="167" spans="1:57" ht="42.75" customHeight="1" x14ac:dyDescent="0.25">
      <c r="A167" s="17" t="s">
        <v>348</v>
      </c>
      <c r="B167" s="86" t="s">
        <v>451</v>
      </c>
      <c r="C167" s="87" t="s">
        <v>452</v>
      </c>
      <c r="D167" s="20">
        <v>43896</v>
      </c>
      <c r="E167" s="97" t="s">
        <v>64</v>
      </c>
      <c r="F167" s="97" t="s">
        <v>50</v>
      </c>
      <c r="G167" s="22">
        <v>7</v>
      </c>
      <c r="H167" s="98" t="s">
        <v>32</v>
      </c>
      <c r="I167" s="88" t="s">
        <v>187</v>
      </c>
      <c r="J167" s="88" t="s">
        <v>452</v>
      </c>
      <c r="K167" s="46" t="s">
        <v>453</v>
      </c>
      <c r="L167" s="26">
        <f t="shared" si="5"/>
        <v>57000000</v>
      </c>
      <c r="M167" s="26">
        <f t="shared" si="4"/>
        <v>57000000</v>
      </c>
      <c r="N167" s="71">
        <f>7000000+50000000</f>
        <v>57000000</v>
      </c>
      <c r="O167" s="26">
        <v>0</v>
      </c>
      <c r="P167" s="26"/>
      <c r="Q167" s="26"/>
      <c r="R167" s="29" t="s">
        <v>36</v>
      </c>
      <c r="S167" s="29" t="s">
        <v>37</v>
      </c>
      <c r="T167" s="29"/>
      <c r="U167" s="29" t="s">
        <v>352</v>
      </c>
      <c r="V167" s="29" t="s">
        <v>165</v>
      </c>
      <c r="W167" s="29" t="s">
        <v>40</v>
      </c>
      <c r="X167" s="29" t="s">
        <v>41</v>
      </c>
      <c r="Y167" s="30" t="s">
        <v>166</v>
      </c>
      <c r="Z167" s="90" t="s">
        <v>43</v>
      </c>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row>
    <row r="168" spans="1:57" ht="42.75" customHeight="1" x14ac:dyDescent="0.25">
      <c r="A168" s="17" t="s">
        <v>348</v>
      </c>
      <c r="B168" s="86" t="s">
        <v>451</v>
      </c>
      <c r="C168" s="87" t="s">
        <v>452</v>
      </c>
      <c r="D168" s="20">
        <v>43896</v>
      </c>
      <c r="E168" s="97" t="s">
        <v>64</v>
      </c>
      <c r="F168" s="97" t="s">
        <v>50</v>
      </c>
      <c r="G168" s="22">
        <v>7</v>
      </c>
      <c r="H168" s="98" t="s">
        <v>32</v>
      </c>
      <c r="I168" s="88" t="s">
        <v>187</v>
      </c>
      <c r="J168" s="88" t="s">
        <v>454</v>
      </c>
      <c r="K168" s="46" t="s">
        <v>35</v>
      </c>
      <c r="L168" s="26">
        <f t="shared" si="5"/>
        <v>143000000</v>
      </c>
      <c r="M168" s="47">
        <f t="shared" si="4"/>
        <v>143000000</v>
      </c>
      <c r="N168" s="100">
        <v>131540968</v>
      </c>
      <c r="O168" s="101">
        <v>11459032</v>
      </c>
      <c r="P168" s="26"/>
      <c r="Q168" s="26"/>
      <c r="R168" s="29" t="s">
        <v>36</v>
      </c>
      <c r="S168" s="29" t="s">
        <v>37</v>
      </c>
      <c r="T168" s="29"/>
      <c r="U168" s="29" t="s">
        <v>352</v>
      </c>
      <c r="V168" s="29" t="s">
        <v>165</v>
      </c>
      <c r="W168" s="29" t="s">
        <v>40</v>
      </c>
      <c r="X168" s="29" t="s">
        <v>41</v>
      </c>
      <c r="Y168" s="30" t="s">
        <v>166</v>
      </c>
      <c r="Z168" s="90" t="s">
        <v>43</v>
      </c>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row>
    <row r="169" spans="1:57" ht="42.75" customHeight="1" x14ac:dyDescent="0.25">
      <c r="A169" s="17" t="s">
        <v>348</v>
      </c>
      <c r="B169" s="86">
        <v>84131503</v>
      </c>
      <c r="C169" s="87" t="s">
        <v>455</v>
      </c>
      <c r="D169" s="20">
        <v>43868</v>
      </c>
      <c r="E169" s="29" t="s">
        <v>63</v>
      </c>
      <c r="F169" s="35" t="s">
        <v>64</v>
      </c>
      <c r="G169" s="22">
        <v>1798</v>
      </c>
      <c r="H169" s="127" t="s">
        <v>175</v>
      </c>
      <c r="I169" s="87" t="s">
        <v>75</v>
      </c>
      <c r="J169" s="88" t="s">
        <v>455</v>
      </c>
      <c r="K169" s="46" t="s">
        <v>456</v>
      </c>
      <c r="L169" s="26">
        <f t="shared" si="5"/>
        <v>1194654563</v>
      </c>
      <c r="M169" s="26">
        <f t="shared" si="4"/>
        <v>1194654563</v>
      </c>
      <c r="N169" s="128">
        <f>1255597858-60943295</f>
        <v>1194654563</v>
      </c>
      <c r="O169" s="26"/>
      <c r="P169" s="26"/>
      <c r="Q169" s="26"/>
      <c r="R169" s="29" t="s">
        <v>36</v>
      </c>
      <c r="S169" s="29" t="s">
        <v>37</v>
      </c>
      <c r="T169" s="29" t="s">
        <v>67</v>
      </c>
      <c r="U169" s="29" t="s">
        <v>352</v>
      </c>
      <c r="V169" s="29" t="s">
        <v>165</v>
      </c>
      <c r="W169" s="29" t="s">
        <v>40</v>
      </c>
      <c r="X169" s="29" t="s">
        <v>41</v>
      </c>
      <c r="Y169" s="30" t="s">
        <v>166</v>
      </c>
      <c r="Z169" s="90" t="s">
        <v>43</v>
      </c>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row>
    <row r="170" spans="1:57" ht="42.75" customHeight="1" x14ac:dyDescent="0.25">
      <c r="A170" s="17" t="s">
        <v>348</v>
      </c>
      <c r="B170" s="86">
        <v>84131503</v>
      </c>
      <c r="C170" s="87" t="s">
        <v>457</v>
      </c>
      <c r="D170" s="20">
        <v>43868</v>
      </c>
      <c r="E170" s="29" t="s">
        <v>63</v>
      </c>
      <c r="F170" s="35" t="s">
        <v>64</v>
      </c>
      <c r="G170" s="22">
        <v>1799</v>
      </c>
      <c r="H170" s="127" t="s">
        <v>175</v>
      </c>
      <c r="I170" s="87" t="s">
        <v>75</v>
      </c>
      <c r="J170" s="88" t="s">
        <v>455</v>
      </c>
      <c r="K170" s="46" t="s">
        <v>458</v>
      </c>
      <c r="L170" s="26">
        <f>+M170+P170+Q170</f>
        <v>65592320</v>
      </c>
      <c r="M170" s="26">
        <f t="shared" si="4"/>
        <v>65592320</v>
      </c>
      <c r="N170" s="129">
        <v>65592320</v>
      </c>
      <c r="O170" s="26"/>
      <c r="P170" s="26"/>
      <c r="Q170" s="26"/>
      <c r="R170" s="29" t="s">
        <v>36</v>
      </c>
      <c r="S170" s="29" t="s">
        <v>37</v>
      </c>
      <c r="T170" s="29" t="s">
        <v>67</v>
      </c>
      <c r="U170" s="29" t="s">
        <v>352</v>
      </c>
      <c r="V170" s="29" t="s">
        <v>165</v>
      </c>
      <c r="W170" s="29" t="s">
        <v>40</v>
      </c>
      <c r="X170" s="29" t="s">
        <v>41</v>
      </c>
      <c r="Y170" s="30" t="s">
        <v>232</v>
      </c>
      <c r="Z170" s="90" t="s">
        <v>43</v>
      </c>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row>
    <row r="171" spans="1:57" ht="42.75" customHeight="1" x14ac:dyDescent="0.25">
      <c r="A171" s="17" t="s">
        <v>348</v>
      </c>
      <c r="B171" s="86">
        <v>46182200</v>
      </c>
      <c r="C171" s="87" t="s">
        <v>459</v>
      </c>
      <c r="D171" s="20">
        <v>43921</v>
      </c>
      <c r="E171" s="29" t="s">
        <v>64</v>
      </c>
      <c r="F171" s="29" t="s">
        <v>50</v>
      </c>
      <c r="G171" s="22">
        <v>2</v>
      </c>
      <c r="H171" s="98" t="s">
        <v>32</v>
      </c>
      <c r="I171" s="88" t="s">
        <v>33</v>
      </c>
      <c r="J171" s="88" t="s">
        <v>440</v>
      </c>
      <c r="K171" s="46" t="s">
        <v>271</v>
      </c>
      <c r="L171" s="26">
        <f t="shared" si="5"/>
        <v>42050599</v>
      </c>
      <c r="M171" s="26">
        <f t="shared" si="4"/>
        <v>42050599</v>
      </c>
      <c r="N171" s="26">
        <f>34000000+8050599</f>
        <v>42050599</v>
      </c>
      <c r="O171" s="26"/>
      <c r="P171" s="26"/>
      <c r="Q171" s="26"/>
      <c r="R171" s="29" t="s">
        <v>36</v>
      </c>
      <c r="S171" s="29" t="s">
        <v>37</v>
      </c>
      <c r="T171" s="29"/>
      <c r="U171" s="29" t="s">
        <v>352</v>
      </c>
      <c r="V171" s="29" t="s">
        <v>165</v>
      </c>
      <c r="W171" s="29" t="s">
        <v>40</v>
      </c>
      <c r="X171" s="29" t="s">
        <v>41</v>
      </c>
      <c r="Y171" s="30" t="s">
        <v>166</v>
      </c>
      <c r="Z171" s="90" t="s">
        <v>43</v>
      </c>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row>
    <row r="172" spans="1:57" ht="42.75" customHeight="1" x14ac:dyDescent="0.25">
      <c r="A172" s="17" t="s">
        <v>348</v>
      </c>
      <c r="B172" s="86">
        <v>46191600</v>
      </c>
      <c r="C172" s="87" t="s">
        <v>460</v>
      </c>
      <c r="D172" s="20">
        <v>43921</v>
      </c>
      <c r="E172" s="89" t="s">
        <v>63</v>
      </c>
      <c r="F172" s="89" t="s">
        <v>50</v>
      </c>
      <c r="G172" s="22">
        <v>2</v>
      </c>
      <c r="H172" s="98" t="s">
        <v>32</v>
      </c>
      <c r="I172" s="88" t="s">
        <v>33</v>
      </c>
      <c r="J172" s="88" t="s">
        <v>440</v>
      </c>
      <c r="K172" s="46" t="s">
        <v>271</v>
      </c>
      <c r="L172" s="26">
        <f t="shared" si="5"/>
        <v>11109840</v>
      </c>
      <c r="M172" s="26">
        <f t="shared" si="4"/>
        <v>11109840</v>
      </c>
      <c r="N172" s="99">
        <f>8900000+2209840</f>
        <v>11109840</v>
      </c>
      <c r="O172" s="26">
        <v>0</v>
      </c>
      <c r="P172" s="26"/>
      <c r="Q172" s="26"/>
      <c r="R172" s="29" t="s">
        <v>36</v>
      </c>
      <c r="S172" s="29" t="s">
        <v>37</v>
      </c>
      <c r="T172" s="29"/>
      <c r="U172" s="29" t="s">
        <v>352</v>
      </c>
      <c r="V172" s="29" t="s">
        <v>165</v>
      </c>
      <c r="W172" s="29" t="s">
        <v>40</v>
      </c>
      <c r="X172" s="29" t="s">
        <v>41</v>
      </c>
      <c r="Y172" s="30" t="s">
        <v>166</v>
      </c>
      <c r="Z172" s="90" t="s">
        <v>43</v>
      </c>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row>
    <row r="173" spans="1:57" ht="42.75" customHeight="1" x14ac:dyDescent="0.25">
      <c r="A173" s="17" t="s">
        <v>348</v>
      </c>
      <c r="B173" s="18">
        <v>42192200</v>
      </c>
      <c r="C173" s="19" t="s">
        <v>461</v>
      </c>
      <c r="D173" s="20">
        <v>43921</v>
      </c>
      <c r="E173" s="21" t="s">
        <v>50</v>
      </c>
      <c r="F173" s="21" t="s">
        <v>31</v>
      </c>
      <c r="G173" s="30">
        <v>2</v>
      </c>
      <c r="H173" s="23" t="s">
        <v>32</v>
      </c>
      <c r="I173" s="19" t="s">
        <v>200</v>
      </c>
      <c r="J173" s="29" t="s">
        <v>440</v>
      </c>
      <c r="K173" s="24" t="s">
        <v>271</v>
      </c>
      <c r="L173" s="26">
        <f t="shared" si="5"/>
        <v>8300000</v>
      </c>
      <c r="M173" s="26">
        <f t="shared" si="4"/>
        <v>8300000</v>
      </c>
      <c r="N173" s="26">
        <v>8300000</v>
      </c>
      <c r="O173" s="26">
        <v>0</v>
      </c>
      <c r="P173" s="26"/>
      <c r="Q173" s="26"/>
      <c r="R173" s="29" t="s">
        <v>36</v>
      </c>
      <c r="S173" s="29" t="s">
        <v>37</v>
      </c>
      <c r="T173" s="29"/>
      <c r="U173" s="29" t="s">
        <v>352</v>
      </c>
      <c r="V173" s="29" t="s">
        <v>165</v>
      </c>
      <c r="W173" s="29" t="s">
        <v>40</v>
      </c>
      <c r="X173" s="29" t="s">
        <v>41</v>
      </c>
      <c r="Y173" s="30" t="s">
        <v>166</v>
      </c>
      <c r="Z173" s="41" t="s">
        <v>43</v>
      </c>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row>
    <row r="174" spans="1:57" ht="42.75" customHeight="1" x14ac:dyDescent="0.25">
      <c r="A174" s="17" t="s">
        <v>348</v>
      </c>
      <c r="B174" s="18">
        <v>30162303</v>
      </c>
      <c r="C174" s="19" t="s">
        <v>462</v>
      </c>
      <c r="D174" s="20">
        <v>43917</v>
      </c>
      <c r="E174" s="21" t="s">
        <v>64</v>
      </c>
      <c r="F174" s="21" t="s">
        <v>50</v>
      </c>
      <c r="G174" s="22">
        <v>2</v>
      </c>
      <c r="H174" s="42" t="s">
        <v>32</v>
      </c>
      <c r="I174" s="19" t="s">
        <v>187</v>
      </c>
      <c r="J174" s="29" t="s">
        <v>463</v>
      </c>
      <c r="K174" s="24" t="s">
        <v>464</v>
      </c>
      <c r="L174" s="26">
        <f t="shared" si="5"/>
        <v>9000000</v>
      </c>
      <c r="M174" s="26">
        <f t="shared" si="4"/>
        <v>9000000</v>
      </c>
      <c r="N174" s="26"/>
      <c r="O174" s="26">
        <v>9000000</v>
      </c>
      <c r="P174" s="26"/>
      <c r="Q174" s="26"/>
      <c r="R174" s="29" t="s">
        <v>36</v>
      </c>
      <c r="S174" s="29" t="s">
        <v>37</v>
      </c>
      <c r="T174" s="29"/>
      <c r="U174" s="29" t="s">
        <v>352</v>
      </c>
      <c r="V174" s="29" t="s">
        <v>165</v>
      </c>
      <c r="W174" s="29" t="s">
        <v>40</v>
      </c>
      <c r="X174" s="29" t="s">
        <v>41</v>
      </c>
      <c r="Y174" s="30" t="s">
        <v>166</v>
      </c>
      <c r="Z174" s="41" t="s">
        <v>43</v>
      </c>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row>
    <row r="175" spans="1:57" ht="99.75" customHeight="1" x14ac:dyDescent="0.25">
      <c r="A175" s="17" t="s">
        <v>465</v>
      </c>
      <c r="B175" s="24">
        <v>82101500</v>
      </c>
      <c r="C175" s="19" t="s">
        <v>466</v>
      </c>
      <c r="D175" s="20">
        <v>43868</v>
      </c>
      <c r="E175" s="130" t="s">
        <v>63</v>
      </c>
      <c r="F175" s="130" t="s">
        <v>63</v>
      </c>
      <c r="G175" s="130" t="s">
        <v>467</v>
      </c>
      <c r="H175" s="130" t="s">
        <v>32</v>
      </c>
      <c r="I175" s="19" t="s">
        <v>33</v>
      </c>
      <c r="J175" s="24" t="s">
        <v>468</v>
      </c>
      <c r="K175" s="46" t="s">
        <v>271</v>
      </c>
      <c r="L175" s="26">
        <f t="shared" si="5"/>
        <v>200000000</v>
      </c>
      <c r="M175" s="26">
        <f t="shared" si="4"/>
        <v>200000000</v>
      </c>
      <c r="N175" s="26">
        <f>192050000+7950000</f>
        <v>200000000</v>
      </c>
      <c r="O175" s="26">
        <v>0</v>
      </c>
      <c r="P175" s="26"/>
      <c r="Q175" s="26"/>
      <c r="R175" s="29" t="s">
        <v>36</v>
      </c>
      <c r="S175" s="29" t="s">
        <v>37</v>
      </c>
      <c r="T175" s="29" t="s">
        <v>98</v>
      </c>
      <c r="U175" s="29" t="s">
        <v>469</v>
      </c>
      <c r="V175" s="29" t="s">
        <v>165</v>
      </c>
      <c r="W175" s="29" t="s">
        <v>40</v>
      </c>
      <c r="X175" s="29" t="s">
        <v>41</v>
      </c>
      <c r="Y175" s="30" t="s">
        <v>166</v>
      </c>
      <c r="Z175" s="41" t="s">
        <v>43</v>
      </c>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row>
    <row r="176" spans="1:57" ht="128.25" customHeight="1" x14ac:dyDescent="0.25">
      <c r="A176" s="17" t="s">
        <v>465</v>
      </c>
      <c r="B176" s="24" t="s">
        <v>470</v>
      </c>
      <c r="C176" s="19" t="s">
        <v>471</v>
      </c>
      <c r="D176" s="20">
        <v>43854</v>
      </c>
      <c r="E176" s="130" t="s">
        <v>63</v>
      </c>
      <c r="F176" s="130" t="s">
        <v>64</v>
      </c>
      <c r="G176" s="130" t="s">
        <v>472</v>
      </c>
      <c r="H176" s="130" t="s">
        <v>32</v>
      </c>
      <c r="I176" s="43" t="s">
        <v>75</v>
      </c>
      <c r="J176" s="24" t="s">
        <v>473</v>
      </c>
      <c r="K176" s="46" t="s">
        <v>35</v>
      </c>
      <c r="L176" s="26">
        <f t="shared" si="5"/>
        <v>2000000000</v>
      </c>
      <c r="M176" s="26">
        <f t="shared" si="4"/>
        <v>2000000000</v>
      </c>
      <c r="N176" s="26">
        <v>2000000000</v>
      </c>
      <c r="O176" s="26">
        <v>0</v>
      </c>
      <c r="P176" s="26"/>
      <c r="Q176" s="26"/>
      <c r="R176" s="29" t="s">
        <v>36</v>
      </c>
      <c r="S176" s="29" t="s">
        <v>37</v>
      </c>
      <c r="T176" s="29" t="s">
        <v>67</v>
      </c>
      <c r="U176" s="29" t="s">
        <v>469</v>
      </c>
      <c r="V176" s="29" t="s">
        <v>165</v>
      </c>
      <c r="W176" s="29" t="s">
        <v>40</v>
      </c>
      <c r="X176" s="29" t="s">
        <v>41</v>
      </c>
      <c r="Y176" s="30" t="s">
        <v>166</v>
      </c>
      <c r="Z176" s="41" t="s">
        <v>43</v>
      </c>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row>
    <row r="177" spans="1:57" ht="71.25" customHeight="1" x14ac:dyDescent="0.25">
      <c r="A177" s="17" t="s">
        <v>465</v>
      </c>
      <c r="B177" s="24">
        <v>83121700</v>
      </c>
      <c r="C177" s="43" t="s">
        <v>474</v>
      </c>
      <c r="D177" s="20">
        <v>43854</v>
      </c>
      <c r="E177" s="130" t="s">
        <v>63</v>
      </c>
      <c r="F177" s="130" t="s">
        <v>50</v>
      </c>
      <c r="G177" s="130" t="s">
        <v>475</v>
      </c>
      <c r="H177" s="130" t="s">
        <v>32</v>
      </c>
      <c r="I177" s="19" t="s">
        <v>75</v>
      </c>
      <c r="J177" s="24" t="s">
        <v>473</v>
      </c>
      <c r="K177" s="46" t="s">
        <v>35</v>
      </c>
      <c r="L177" s="26">
        <f t="shared" si="5"/>
        <v>86000000</v>
      </c>
      <c r="M177" s="26">
        <f t="shared" si="4"/>
        <v>86000000</v>
      </c>
      <c r="N177" s="26">
        <v>86000000</v>
      </c>
      <c r="O177" s="26">
        <v>0</v>
      </c>
      <c r="P177" s="26"/>
      <c r="Q177" s="26"/>
      <c r="R177" s="29" t="s">
        <v>36</v>
      </c>
      <c r="S177" s="29" t="s">
        <v>37</v>
      </c>
      <c r="T177" s="29" t="s">
        <v>67</v>
      </c>
      <c r="U177" s="29" t="s">
        <v>469</v>
      </c>
      <c r="V177" s="29" t="s">
        <v>165</v>
      </c>
      <c r="W177" s="29" t="s">
        <v>40</v>
      </c>
      <c r="X177" s="29" t="s">
        <v>41</v>
      </c>
      <c r="Y177" s="30" t="s">
        <v>166</v>
      </c>
      <c r="Z177" s="41" t="s">
        <v>43</v>
      </c>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row>
    <row r="178" spans="1:57" ht="85.5" customHeight="1" x14ac:dyDescent="0.25">
      <c r="A178" s="17" t="s">
        <v>465</v>
      </c>
      <c r="B178" s="24" t="s">
        <v>476</v>
      </c>
      <c r="C178" s="19" t="s">
        <v>140</v>
      </c>
      <c r="D178" s="20">
        <v>43889</v>
      </c>
      <c r="E178" s="29" t="s">
        <v>63</v>
      </c>
      <c r="F178" s="35" t="s">
        <v>50</v>
      </c>
      <c r="G178" s="37">
        <v>8</v>
      </c>
      <c r="H178" s="29" t="s">
        <v>32</v>
      </c>
      <c r="I178" s="19" t="s">
        <v>75</v>
      </c>
      <c r="J178" s="24" t="s">
        <v>477</v>
      </c>
      <c r="K178" s="46" t="s">
        <v>35</v>
      </c>
      <c r="L178" s="26">
        <f t="shared" si="5"/>
        <v>125000000</v>
      </c>
      <c r="M178" s="26">
        <f t="shared" si="4"/>
        <v>125000000</v>
      </c>
      <c r="N178" s="26">
        <v>125000000</v>
      </c>
      <c r="O178" s="26">
        <v>0</v>
      </c>
      <c r="P178" s="26"/>
      <c r="Q178" s="26"/>
      <c r="R178" s="29" t="s">
        <v>36</v>
      </c>
      <c r="S178" s="29" t="s">
        <v>37</v>
      </c>
      <c r="T178" s="29" t="s">
        <v>67</v>
      </c>
      <c r="U178" s="29" t="s">
        <v>469</v>
      </c>
      <c r="V178" s="29" t="s">
        <v>165</v>
      </c>
      <c r="W178" s="29" t="s">
        <v>40</v>
      </c>
      <c r="X178" s="29" t="s">
        <v>41</v>
      </c>
      <c r="Y178" s="30" t="s">
        <v>166</v>
      </c>
      <c r="Z178" s="41" t="s">
        <v>43</v>
      </c>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row>
    <row r="179" spans="1:57" ht="57" customHeight="1" x14ac:dyDescent="0.25">
      <c r="A179" s="17" t="s">
        <v>478</v>
      </c>
      <c r="B179" s="18">
        <v>82111902</v>
      </c>
      <c r="C179" s="19" t="s">
        <v>479</v>
      </c>
      <c r="D179" s="20">
        <v>44012</v>
      </c>
      <c r="E179" s="21" t="s">
        <v>198</v>
      </c>
      <c r="F179" s="21" t="s">
        <v>252</v>
      </c>
      <c r="G179" s="22">
        <v>1</v>
      </c>
      <c r="H179" s="42" t="s">
        <v>32</v>
      </c>
      <c r="I179" s="19" t="s">
        <v>187</v>
      </c>
      <c r="J179" s="29" t="s">
        <v>480</v>
      </c>
      <c r="K179" s="24" t="s">
        <v>271</v>
      </c>
      <c r="L179" s="26">
        <f t="shared" si="5"/>
        <v>2121800</v>
      </c>
      <c r="M179" s="26">
        <f t="shared" si="4"/>
        <v>2121800</v>
      </c>
      <c r="N179" s="26">
        <v>2121800</v>
      </c>
      <c r="O179" s="26">
        <v>0</v>
      </c>
      <c r="P179" s="26"/>
      <c r="Q179" s="26"/>
      <c r="R179" s="29" t="s">
        <v>36</v>
      </c>
      <c r="S179" s="29" t="s">
        <v>37</v>
      </c>
      <c r="T179" s="29"/>
      <c r="U179" s="29" t="s">
        <v>481</v>
      </c>
      <c r="V179" s="29" t="s">
        <v>165</v>
      </c>
      <c r="W179" s="29" t="s">
        <v>482</v>
      </c>
      <c r="X179" s="29" t="s">
        <v>41</v>
      </c>
      <c r="Y179" s="30" t="s">
        <v>483</v>
      </c>
      <c r="Z179" s="41" t="s">
        <v>43</v>
      </c>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row>
    <row r="180" spans="1:57" ht="57" customHeight="1" x14ac:dyDescent="0.25">
      <c r="A180" s="17" t="s">
        <v>478</v>
      </c>
      <c r="B180" s="18">
        <v>86101705</v>
      </c>
      <c r="C180" s="19" t="s">
        <v>140</v>
      </c>
      <c r="D180" s="20">
        <v>43889</v>
      </c>
      <c r="E180" s="29" t="s">
        <v>63</v>
      </c>
      <c r="F180" s="35" t="s">
        <v>50</v>
      </c>
      <c r="G180" s="37">
        <v>8</v>
      </c>
      <c r="H180" s="29" t="s">
        <v>32</v>
      </c>
      <c r="I180" s="19" t="s">
        <v>75</v>
      </c>
      <c r="J180" s="29" t="s">
        <v>484</v>
      </c>
      <c r="K180" s="24" t="s">
        <v>35</v>
      </c>
      <c r="L180" s="26">
        <f t="shared" si="5"/>
        <v>65000000</v>
      </c>
      <c r="M180" s="26">
        <f t="shared" si="4"/>
        <v>65000000</v>
      </c>
      <c r="N180" s="26">
        <v>65000000</v>
      </c>
      <c r="O180" s="26">
        <v>0</v>
      </c>
      <c r="P180" s="26"/>
      <c r="Q180" s="26"/>
      <c r="R180" s="29" t="s">
        <v>36</v>
      </c>
      <c r="S180" s="29" t="s">
        <v>37</v>
      </c>
      <c r="T180" s="29" t="s">
        <v>67</v>
      </c>
      <c r="U180" s="29" t="s">
        <v>481</v>
      </c>
      <c r="V180" s="29" t="s">
        <v>165</v>
      </c>
      <c r="W180" s="29" t="s">
        <v>482</v>
      </c>
      <c r="X180" s="29" t="s">
        <v>41</v>
      </c>
      <c r="Y180" s="30" t="s">
        <v>483</v>
      </c>
      <c r="Z180" s="41" t="s">
        <v>43</v>
      </c>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row>
    <row r="181" spans="1:57" ht="85.5" customHeight="1" x14ac:dyDescent="0.25">
      <c r="A181" s="17" t="s">
        <v>478</v>
      </c>
      <c r="B181" s="18">
        <v>80120000</v>
      </c>
      <c r="C181" s="19" t="s">
        <v>485</v>
      </c>
      <c r="D181" s="39">
        <v>43889</v>
      </c>
      <c r="E181" s="55" t="s">
        <v>63</v>
      </c>
      <c r="F181" s="55" t="s">
        <v>63</v>
      </c>
      <c r="G181" s="22">
        <v>6</v>
      </c>
      <c r="H181" s="23" t="s">
        <v>32</v>
      </c>
      <c r="I181" s="19" t="s">
        <v>33</v>
      </c>
      <c r="J181" s="29" t="s">
        <v>486</v>
      </c>
      <c r="K181" s="24" t="s">
        <v>35</v>
      </c>
      <c r="L181" s="26">
        <f t="shared" si="5"/>
        <v>76365120</v>
      </c>
      <c r="M181" s="26">
        <f t="shared" si="4"/>
        <v>76365120</v>
      </c>
      <c r="N181" s="26">
        <v>76365120</v>
      </c>
      <c r="O181" s="26">
        <v>0</v>
      </c>
      <c r="P181" s="26"/>
      <c r="Q181" s="26"/>
      <c r="R181" s="29" t="s">
        <v>36</v>
      </c>
      <c r="S181" s="29" t="s">
        <v>37</v>
      </c>
      <c r="T181" s="29" t="s">
        <v>67</v>
      </c>
      <c r="U181" s="29" t="s">
        <v>481</v>
      </c>
      <c r="V181" s="29" t="s">
        <v>165</v>
      </c>
      <c r="W181" s="29" t="s">
        <v>482</v>
      </c>
      <c r="X181" s="29" t="s">
        <v>41</v>
      </c>
      <c r="Y181" s="30" t="s">
        <v>483</v>
      </c>
      <c r="Z181" s="41" t="s">
        <v>43</v>
      </c>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row>
    <row r="182" spans="1:57" ht="15.5" customHeight="1" x14ac:dyDescent="0.3">
      <c r="A182" s="131" t="s">
        <v>487</v>
      </c>
      <c r="B182" s="132" t="s">
        <v>488</v>
      </c>
      <c r="C182" s="133" t="s">
        <v>140</v>
      </c>
      <c r="D182" s="134">
        <v>43889</v>
      </c>
      <c r="E182" s="135" t="s">
        <v>63</v>
      </c>
      <c r="F182" s="136" t="s">
        <v>50</v>
      </c>
      <c r="G182" s="137">
        <v>8</v>
      </c>
      <c r="H182" s="135" t="s">
        <v>32</v>
      </c>
      <c r="I182" s="133" t="s">
        <v>75</v>
      </c>
      <c r="J182" s="138" t="s">
        <v>489</v>
      </c>
      <c r="K182" s="139" t="s">
        <v>490</v>
      </c>
      <c r="L182" s="140">
        <f t="shared" si="5"/>
        <v>131021150</v>
      </c>
      <c r="M182" s="140">
        <f t="shared" si="4"/>
        <v>131021150</v>
      </c>
      <c r="N182" s="140">
        <f>77976150+53045000</f>
        <v>131021150</v>
      </c>
      <c r="O182" s="140"/>
      <c r="P182" s="140"/>
      <c r="Q182" s="140"/>
      <c r="R182" s="135" t="s">
        <v>36</v>
      </c>
      <c r="S182" s="135" t="s">
        <v>37</v>
      </c>
      <c r="T182" s="135" t="s">
        <v>67</v>
      </c>
      <c r="U182" s="135" t="s">
        <v>491</v>
      </c>
      <c r="V182" s="135" t="s">
        <v>492</v>
      </c>
      <c r="W182" s="135" t="s">
        <v>493</v>
      </c>
      <c r="X182" s="135" t="s">
        <v>41</v>
      </c>
      <c r="Y182" s="141" t="s">
        <v>166</v>
      </c>
      <c r="Z182" s="142" t="s">
        <v>43</v>
      </c>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row>
    <row r="183" spans="1:57" x14ac:dyDescent="0.25">
      <c r="A183" s="102"/>
      <c r="B183" s="143"/>
      <c r="C183" s="144"/>
      <c r="D183" s="143"/>
      <c r="E183" s="143"/>
      <c r="F183" s="143"/>
      <c r="G183" s="143"/>
      <c r="H183" s="143"/>
      <c r="I183" s="143"/>
      <c r="J183" s="144"/>
      <c r="K183" s="145"/>
      <c r="L183" s="145"/>
      <c r="M183" s="144"/>
      <c r="N183" s="144"/>
      <c r="O183" s="143"/>
      <c r="P183" s="143"/>
      <c r="Q183" s="143"/>
      <c r="R183" s="144"/>
      <c r="S183" s="144"/>
      <c r="T183" s="144"/>
      <c r="U183" s="143"/>
      <c r="V183" s="144"/>
      <c r="W183" s="144"/>
      <c r="X183" s="143"/>
      <c r="Y183" s="144"/>
      <c r="Z183" s="10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row>
    <row r="184" spans="1:57" x14ac:dyDescent="0.25">
      <c r="A184" s="102"/>
      <c r="B184" s="143"/>
      <c r="C184" s="144"/>
      <c r="D184" s="143"/>
      <c r="E184" s="143"/>
      <c r="F184" s="143"/>
      <c r="G184" s="143"/>
      <c r="H184" s="143"/>
      <c r="I184" s="143"/>
      <c r="J184" s="144"/>
      <c r="K184" s="145">
        <f>SUM(K6:K183)</f>
        <v>0</v>
      </c>
      <c r="L184" s="145"/>
      <c r="M184" s="146">
        <f>SUM(M6:M182)</f>
        <v>141723335934.68976</v>
      </c>
      <c r="N184" s="147">
        <f>SUM(N39:N47)</f>
        <v>3602306510</v>
      </c>
      <c r="O184" s="143">
        <v>3416464649</v>
      </c>
      <c r="P184" s="148">
        <f>O184-N184</f>
        <v>-185841861</v>
      </c>
      <c r="Q184" s="143"/>
      <c r="R184" s="144"/>
      <c r="S184" s="144"/>
      <c r="T184" s="144"/>
      <c r="U184" s="143"/>
      <c r="V184" s="144"/>
      <c r="W184" s="144"/>
      <c r="X184" s="143"/>
      <c r="Y184" s="144"/>
      <c r="Z184" s="10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row>
    <row r="185" spans="1:57" x14ac:dyDescent="0.25">
      <c r="A185" s="102"/>
      <c r="B185" s="143"/>
      <c r="C185" s="144"/>
      <c r="D185" s="143"/>
      <c r="E185" s="143"/>
      <c r="F185" s="143"/>
      <c r="G185" s="143"/>
      <c r="H185" s="143"/>
      <c r="I185" s="143"/>
      <c r="J185" s="144"/>
      <c r="K185" s="145"/>
      <c r="L185" s="145"/>
      <c r="M185" s="144"/>
      <c r="N185" s="144"/>
      <c r="O185" s="143"/>
      <c r="P185" s="143"/>
      <c r="Q185" s="143"/>
      <c r="R185" s="144"/>
      <c r="S185" s="144"/>
      <c r="T185" s="144"/>
      <c r="U185" s="143"/>
      <c r="V185" s="144"/>
      <c r="W185" s="144"/>
      <c r="X185" s="143"/>
      <c r="Y185" s="144"/>
      <c r="Z185" s="10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row>
    <row r="186" spans="1:57" x14ac:dyDescent="0.25">
      <c r="A186" s="102"/>
      <c r="B186" s="143"/>
      <c r="C186" s="149"/>
      <c r="D186" s="143"/>
      <c r="E186" s="143"/>
      <c r="F186" s="143"/>
      <c r="G186" s="143"/>
      <c r="H186" s="143"/>
      <c r="I186" s="143"/>
      <c r="J186" s="144"/>
      <c r="K186" s="145"/>
      <c r="L186" s="145"/>
      <c r="M186" s="144"/>
      <c r="N186" s="144"/>
      <c r="O186" s="143"/>
      <c r="P186" s="143"/>
      <c r="Q186" s="143"/>
      <c r="R186" s="144"/>
      <c r="S186" s="144"/>
      <c r="T186" s="144"/>
      <c r="U186" s="143"/>
      <c r="V186" s="144"/>
      <c r="W186" s="144"/>
      <c r="X186" s="143"/>
      <c r="Y186" s="144"/>
      <c r="Z186" s="10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row>
    <row r="187" spans="1:57" x14ac:dyDescent="0.25">
      <c r="A187" s="102"/>
      <c r="B187" s="143"/>
      <c r="C187" s="144"/>
      <c r="D187" s="143"/>
      <c r="E187" s="143"/>
      <c r="F187" s="143"/>
      <c r="G187" s="143"/>
      <c r="H187" s="143"/>
      <c r="I187" s="143"/>
      <c r="J187" s="144"/>
      <c r="K187" s="145"/>
      <c r="L187" s="145"/>
      <c r="M187" s="144"/>
      <c r="N187" s="144"/>
      <c r="O187" s="143"/>
      <c r="P187" s="143"/>
      <c r="Q187" s="143"/>
      <c r="R187" s="144"/>
      <c r="S187" s="144"/>
      <c r="T187" s="144"/>
      <c r="U187" s="143"/>
      <c r="V187" s="144"/>
      <c r="W187" s="144"/>
      <c r="X187" s="143"/>
      <c r="Y187" s="144"/>
      <c r="Z187" s="10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row>
    <row r="188" spans="1:57" ht="13" x14ac:dyDescent="0.3">
      <c r="A188" s="102"/>
      <c r="B188" s="143"/>
      <c r="C188" s="144"/>
      <c r="D188" s="143"/>
      <c r="E188" s="143"/>
      <c r="F188" s="143"/>
      <c r="G188" s="143"/>
      <c r="H188" s="143"/>
      <c r="I188" s="143"/>
      <c r="J188" s="144"/>
      <c r="K188" s="145"/>
      <c r="L188" s="145"/>
      <c r="M188" s="144"/>
      <c r="N188" s="150">
        <v>424469848</v>
      </c>
      <c r="O188" s="143"/>
      <c r="P188" s="143"/>
      <c r="Q188" s="143"/>
      <c r="R188" s="144"/>
      <c r="S188" s="144"/>
      <c r="T188" s="144"/>
      <c r="U188" s="143"/>
      <c r="V188" s="144"/>
      <c r="W188" s="144"/>
      <c r="X188" s="143"/>
      <c r="Y188" s="144"/>
      <c r="Z188" s="10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row>
    <row r="189" spans="1:57" x14ac:dyDescent="0.25">
      <c r="A189" s="102"/>
      <c r="B189" s="143"/>
      <c r="C189" s="144"/>
      <c r="D189" s="143"/>
      <c r="E189" s="143"/>
      <c r="F189" s="143"/>
      <c r="G189" s="143"/>
      <c r="H189" s="143"/>
      <c r="I189" s="143"/>
      <c r="J189" s="144"/>
      <c r="K189" s="145"/>
      <c r="L189" s="145"/>
      <c r="M189" s="144"/>
      <c r="N189" s="144"/>
      <c r="O189" s="143"/>
      <c r="P189" s="143"/>
      <c r="Q189" s="143"/>
      <c r="R189" s="144"/>
      <c r="S189" s="144"/>
      <c r="T189" s="144"/>
      <c r="U189" s="143"/>
      <c r="V189" s="144"/>
      <c r="W189" s="144"/>
      <c r="X189" s="143"/>
      <c r="Y189" s="144"/>
      <c r="Z189" s="10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row>
    <row r="190" spans="1:57" x14ac:dyDescent="0.25">
      <c r="A190" s="102"/>
      <c r="B190" s="103"/>
      <c r="C190" s="104"/>
      <c r="D190" s="103"/>
      <c r="E190" s="103"/>
      <c r="F190" s="103"/>
      <c r="G190" s="103"/>
      <c r="H190" s="103"/>
      <c r="I190" s="103"/>
      <c r="J190" s="104"/>
      <c r="K190" s="105"/>
      <c r="L190" s="105"/>
      <c r="M190" s="104"/>
      <c r="N190" s="107"/>
      <c r="O190" s="103"/>
      <c r="P190" s="103"/>
      <c r="Q190" s="103"/>
      <c r="R190" s="104"/>
      <c r="S190" s="104"/>
      <c r="T190" s="104"/>
      <c r="U190" s="103"/>
      <c r="V190" s="104"/>
      <c r="W190" s="104"/>
      <c r="X190" s="103"/>
      <c r="Y190" s="104"/>
      <c r="Z190" s="106"/>
    </row>
    <row r="191" spans="1:57" x14ac:dyDescent="0.25">
      <c r="A191" s="102"/>
      <c r="B191" s="103"/>
      <c r="C191" s="104"/>
      <c r="D191" s="103"/>
      <c r="E191" s="103"/>
      <c r="F191" s="103"/>
      <c r="G191" s="103"/>
      <c r="H191" s="103"/>
      <c r="I191" s="103"/>
      <c r="J191" s="104"/>
      <c r="K191" s="105"/>
      <c r="L191" s="105"/>
      <c r="M191" s="104"/>
      <c r="N191" s="104"/>
      <c r="O191" s="103"/>
      <c r="P191" s="103"/>
      <c r="Q191" s="103"/>
      <c r="R191" s="104"/>
      <c r="S191" s="104"/>
      <c r="T191" s="104"/>
      <c r="U191" s="103"/>
      <c r="V191" s="104"/>
      <c r="W191" s="104"/>
      <c r="X191" s="103"/>
      <c r="Y191" s="104"/>
      <c r="Z191" s="106"/>
    </row>
    <row r="192" spans="1:57" x14ac:dyDescent="0.25">
      <c r="A192" s="102"/>
      <c r="B192" s="103"/>
      <c r="C192" s="104"/>
      <c r="D192" s="103"/>
      <c r="E192" s="103"/>
      <c r="F192" s="103"/>
      <c r="G192" s="103"/>
      <c r="H192" s="103"/>
      <c r="I192" s="103"/>
      <c r="J192" s="104"/>
      <c r="K192" s="105"/>
      <c r="L192" s="105"/>
      <c r="M192" s="104"/>
      <c r="N192" s="104"/>
      <c r="O192" s="103"/>
      <c r="P192" s="103"/>
      <c r="Q192" s="103"/>
      <c r="R192" s="104"/>
      <c r="S192" s="104"/>
      <c r="T192" s="104"/>
      <c r="U192" s="103"/>
      <c r="V192" s="104"/>
      <c r="W192" s="104"/>
      <c r="X192" s="103"/>
      <c r="Y192" s="104"/>
      <c r="Z192" s="106"/>
    </row>
    <row r="193" spans="1:26" x14ac:dyDescent="0.25">
      <c r="A193" s="102"/>
      <c r="B193" s="103"/>
      <c r="C193" s="104"/>
      <c r="D193" s="103"/>
      <c r="E193" s="103"/>
      <c r="F193" s="103"/>
      <c r="G193" s="103"/>
      <c r="H193" s="103"/>
      <c r="I193" s="103"/>
      <c r="J193" s="104"/>
      <c r="K193" s="105"/>
      <c r="L193" s="105"/>
      <c r="M193" s="104"/>
      <c r="N193" s="104"/>
      <c r="O193" s="103"/>
      <c r="P193" s="103"/>
      <c r="Q193" s="103"/>
      <c r="R193" s="104"/>
      <c r="S193" s="104"/>
      <c r="T193" s="104"/>
      <c r="U193" s="103"/>
      <c r="V193" s="104"/>
      <c r="W193" s="104"/>
      <c r="X193" s="103"/>
      <c r="Y193" s="104"/>
      <c r="Z193" s="106"/>
    </row>
    <row r="194" spans="1:26" x14ac:dyDescent="0.25">
      <c r="A194" s="102"/>
      <c r="B194" s="103"/>
      <c r="C194" s="104"/>
      <c r="D194" s="103"/>
      <c r="E194" s="103"/>
      <c r="F194" s="103"/>
      <c r="G194" s="103"/>
      <c r="H194" s="103"/>
      <c r="I194" s="103"/>
      <c r="J194" s="104"/>
      <c r="K194" s="105"/>
      <c r="L194" s="105"/>
      <c r="M194" s="104"/>
      <c r="N194" s="104"/>
      <c r="O194" s="103"/>
      <c r="P194" s="103"/>
      <c r="Q194" s="103"/>
      <c r="R194" s="104"/>
      <c r="S194" s="104"/>
      <c r="T194" s="104"/>
      <c r="U194" s="103"/>
      <c r="V194" s="104"/>
      <c r="W194" s="104"/>
      <c r="X194" s="103"/>
      <c r="Y194" s="104"/>
      <c r="Z194" s="106"/>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20" xr:uid="{06B0FF66-45DE-45FF-BB9E-776053FED086}"/>
  </dataValidations>
  <hyperlinks>
    <hyperlink ref="Z6" r:id="rId1" xr:uid="{3666F8D8-4551-48A4-A345-E5CBA2B5E86B}"/>
    <hyperlink ref="Z8:Z27" r:id="rId2" display="javiermosquera@reincorporacion.gov.co" xr:uid="{73FAE665-F3E2-4E37-AA5B-68E4FBD685B8}"/>
    <hyperlink ref="Z18:Z27" r:id="rId3" display="javiermosquera@reincorporacion.gov.co" xr:uid="{6EE6DE88-3D23-4DF2-835B-2238D9350A48}"/>
    <hyperlink ref="Z24" r:id="rId4" xr:uid="{E9CEE99C-D23E-4AB2-9C0D-13E00F9EA656}"/>
    <hyperlink ref="Z66" r:id="rId5" xr:uid="{F7B6D8ED-B2BD-4A67-B2E8-3B0939907E23}"/>
    <hyperlink ref="Z67" r:id="rId6" xr:uid="{831A6C5A-8C31-46A5-9A19-C1356DAF4017}"/>
    <hyperlink ref="Z68" r:id="rId7" xr:uid="{E29EAA0E-D944-4BCD-99DC-7C651C262DD7}"/>
    <hyperlink ref="Z69" r:id="rId8" xr:uid="{9FEE9CEE-3F54-4EA2-8D52-27CBCF058EA3}"/>
    <hyperlink ref="Z70" r:id="rId9" xr:uid="{28357B48-F87C-4389-A7D8-BD8BA449B10B}"/>
    <hyperlink ref="Z71" r:id="rId10" xr:uid="{208A3601-CB2D-48C8-8DB0-E3300ACC0F0D}"/>
    <hyperlink ref="Z72" r:id="rId11" xr:uid="{D51DBE62-78F4-49D2-95B5-1688A031B644}"/>
    <hyperlink ref="Z73" r:id="rId12" xr:uid="{B45501AB-FFFD-4440-A3B5-DA2925A9915D}"/>
    <hyperlink ref="Z74" r:id="rId13" xr:uid="{A3FE53C1-8B36-4A9C-89B6-CAB5C5438C06}"/>
    <hyperlink ref="Z75" r:id="rId14" xr:uid="{CA9F8B0E-19A2-4832-9DAB-30DAF42C4C40}"/>
    <hyperlink ref="Z76" r:id="rId15" xr:uid="{C819256C-5A51-4F53-911B-C1949D736AA8}"/>
    <hyperlink ref="Z78" r:id="rId16" xr:uid="{C1660ECB-4635-44AF-913A-F57C91F66241}"/>
    <hyperlink ref="Z79" r:id="rId17" xr:uid="{822F3E0D-5F07-4C49-830D-ABDFC5481A25}"/>
    <hyperlink ref="Z86" r:id="rId18" xr:uid="{0BB954E1-A320-4DC3-A3E5-7F9633A0F716}"/>
    <hyperlink ref="Z87" r:id="rId19" xr:uid="{14708A26-C9E3-4044-8C8B-034734728F0F}"/>
    <hyperlink ref="Z88:Z91" r:id="rId20" display="javiermosquera@reincorporacion.gov.co" xr:uid="{7F055693-44AD-4A17-B71E-B9DC6AF8850B}"/>
    <hyperlink ref="Z92" r:id="rId21" xr:uid="{229520BA-1AE7-452C-A9DD-DDD8E5B90774}"/>
    <hyperlink ref="Z93" r:id="rId22" xr:uid="{B6C21F3B-3F21-45F2-A360-058BCF70F9E6}"/>
    <hyperlink ref="Z179" r:id="rId23" xr:uid="{20DB05D2-4E9D-4A7C-9379-D9EFD33A624D}"/>
    <hyperlink ref="Z180:Z181" r:id="rId24" display="javiermosquera@reincorporacion.gov.co" xr:uid="{58B54C15-3707-4A26-BDC2-90E10E4E5B01}"/>
    <hyperlink ref="Z181" r:id="rId25" xr:uid="{CCE9286C-7E2A-4E0F-BF58-DCFB6D4AA11A}"/>
    <hyperlink ref="Z182" r:id="rId26" xr:uid="{B48D8A7A-83C3-49AA-B871-56B87FA8E10B}"/>
    <hyperlink ref="Z48" r:id="rId27" xr:uid="{D337B62D-9BA6-4403-A579-1E535FBF0194}"/>
    <hyperlink ref="Z46" r:id="rId28" xr:uid="{19640746-AFA3-47C6-950E-27D7F54E65D9}"/>
    <hyperlink ref="Z63" r:id="rId29" xr:uid="{F076CBF7-2DFC-4559-8740-3D39C38C9759}"/>
    <hyperlink ref="Z45" r:id="rId30" xr:uid="{F357586F-7896-41FF-A247-E305BDC23905}"/>
    <hyperlink ref="Z44" r:id="rId31" xr:uid="{8766EA23-017B-4F39-9425-5994ADDEE754}"/>
    <hyperlink ref="Z47" r:id="rId32" xr:uid="{7D59779A-ACBC-4889-83E4-6D243EF485C4}"/>
    <hyperlink ref="Z43" r:id="rId33" xr:uid="{C8C3278F-E5D0-4793-83A9-BC14F19E2703}"/>
    <hyperlink ref="Z42" r:id="rId34" xr:uid="{8CC12A5E-0FBA-40CB-A976-53F6951921FD}"/>
    <hyperlink ref="Z40" r:id="rId35" xr:uid="{300FDF18-2A5E-45AB-9E53-CC7D6AF0DCC1}"/>
    <hyperlink ref="Z34" r:id="rId36" xr:uid="{667D0AB7-A3F3-4EA6-9913-EBD80EAFCEA1}"/>
    <hyperlink ref="Z7" r:id="rId37" xr:uid="{B1592CFB-C92C-4523-9054-5D5BF04D9C40}"/>
    <hyperlink ref="Z85" r:id="rId38" xr:uid="{4B63C356-78CA-4BD7-AC39-AA1FB8293108}"/>
    <hyperlink ref="Z83" r:id="rId39" xr:uid="{7BDC9F54-8421-4DDE-8DA8-2BB0154FEFEB}"/>
    <hyperlink ref="Z176:Z178" r:id="rId40" display="javiermosquera@reincorporacion.gov.co" xr:uid="{62CA6195-2BFE-4102-B375-389BE6DE8029}"/>
    <hyperlink ref="Z175" r:id="rId41" xr:uid="{9575E6F1-9247-4845-B44B-022473CDAF1B}"/>
    <hyperlink ref="Z177" r:id="rId42" xr:uid="{3F522682-1FFA-49BD-8FB4-EB85DC0D22DF}"/>
    <hyperlink ref="Z102" r:id="rId43" xr:uid="{1BA5C26C-546E-422C-B246-2005F41C30B2}"/>
    <hyperlink ref="Z103" r:id="rId44" xr:uid="{2BBB3EF8-D0F5-4FEF-A443-4B1631782C67}"/>
    <hyperlink ref="Z104" r:id="rId45" xr:uid="{B07EAFEF-6521-4C9B-B2DD-2943514E3343}"/>
    <hyperlink ref="Z105" r:id="rId46" xr:uid="{CBC78724-9BD5-487F-A9C7-B60815C2F19E}"/>
    <hyperlink ref="Z109:Z159" r:id="rId47" display="javiermosquera@reincorporacion.gov.co" xr:uid="{39CEC4A3-00CE-4280-8418-4CF91BF9DF7A}"/>
    <hyperlink ref="Z28" r:id="rId48" xr:uid="{5F468D04-5803-45AE-A6CB-8023CF9C19A2}"/>
    <hyperlink ref="Z32" r:id="rId49" xr:uid="{672CFD05-B795-4FEA-B5CA-F0EF6F1C9A93}"/>
    <hyperlink ref="Z81" r:id="rId50" xr:uid="{7B75FE17-5149-4DFB-B698-F04F91D1CC67}"/>
    <hyperlink ref="Z10" r:id="rId51" xr:uid="{B0B8688C-07C1-4E06-BFD2-3C87557D3ACE}"/>
    <hyperlink ref="Z17" r:id="rId52" xr:uid="{7FDA8BED-686E-4196-997A-8A8F8DD17FFC}"/>
    <hyperlink ref="Z29" r:id="rId53" xr:uid="{B711F250-F35E-443A-A13C-1066B29B9865}"/>
    <hyperlink ref="Z33" r:id="rId54" xr:uid="{01DFE64D-7CC0-41AE-B449-8AED47E9CC0C}"/>
    <hyperlink ref="Z35" r:id="rId55" xr:uid="{A216BFDE-BD8E-4543-A836-7FAAA70026A3}"/>
    <hyperlink ref="Z77" r:id="rId56" xr:uid="{1C47E8B5-D4B5-4DBB-9E20-01CF2FA9ACE8}"/>
    <hyperlink ref="Z94" r:id="rId57" xr:uid="{A68294B2-52D2-4B96-8A8A-B9B854FFFD72}"/>
    <hyperlink ref="Z106" r:id="rId58" xr:uid="{475A0593-28D0-4B86-994C-B243ED8F7440}"/>
    <hyperlink ref="Z109:Z110" r:id="rId59" display="javiermosquera@reincorporacion.gov.co" xr:uid="{49F00C24-F08F-47E8-BE21-584B71BB9B79}"/>
    <hyperlink ref="Z112:Z115" r:id="rId60" display="javiermosquera@reincorporacion.gov.co" xr:uid="{37E960D1-ADC2-407B-B79C-3891C6A50341}"/>
    <hyperlink ref="Z113" r:id="rId61" xr:uid="{B3887E62-AE5D-4AA9-8F7A-C684582E310F}"/>
    <hyperlink ref="Z117:Z126" r:id="rId62" display="javiermosquera@reincorporacion.gov.co" xr:uid="{1E6B93DD-00B4-4069-96BF-2CF90E8B8CFA}"/>
    <hyperlink ref="Z122" r:id="rId63" xr:uid="{8ED06F83-045A-4670-9822-AB9BA95C1C02}"/>
    <hyperlink ref="Z119" r:id="rId64" xr:uid="{D30E16C7-FBB4-48E5-B05F-16A105C703F4}"/>
    <hyperlink ref="Z127:Z138" r:id="rId65" display="javiermosquera@reincorporacion.gov.co" xr:uid="{E14E88F4-928F-4D68-9FA5-C4B60B7317AD}"/>
    <hyperlink ref="Z139:Z148" r:id="rId66" display="javiermosquera@reincorporacion.gov.co" xr:uid="{2EFF8875-CE50-48A1-9C64-CE955566328B}"/>
    <hyperlink ref="Z149:Z157" r:id="rId67" display="javiermosquera@reincorporacion.gov.co" xr:uid="{541494E1-8B14-4341-8096-D9EBC0054F92}"/>
    <hyperlink ref="Z158" r:id="rId68" xr:uid="{594C9C50-1252-4612-8C69-7BB07DB1396C}"/>
    <hyperlink ref="Z169" r:id="rId69" xr:uid="{C7497141-90B7-48D9-9182-CFD30A8746D0}"/>
    <hyperlink ref="Z165" r:id="rId70" xr:uid="{28FD9503-0266-41B1-9FD3-4B0D7934A5E7}"/>
    <hyperlink ref="Z127" r:id="rId71" xr:uid="{B0A7A3FB-92ED-4AA9-A5C5-31FBC2353EEC}"/>
    <hyperlink ref="Z9" r:id="rId72" xr:uid="{35D2AED9-C4CA-4B39-B239-EDA7A07FF566}"/>
    <hyperlink ref="Z23" r:id="rId73" xr:uid="{35636EA8-AF73-40D3-897E-80FFE81AE9D6}"/>
    <hyperlink ref="Z41" r:id="rId74" xr:uid="{01795AE4-8275-4729-BA2C-252211986F62}"/>
    <hyperlink ref="Z170" r:id="rId75" xr:uid="{5823CD92-AF54-4DB1-92E4-21DC0F997B3B}"/>
    <hyperlink ref="Z15" r:id="rId76" xr:uid="{E787B935-661D-4464-8149-D4A18E4D2711}"/>
    <hyperlink ref="Z13" r:id="rId77" xr:uid="{5283D180-8002-4CE6-9281-79D02A1723BE}"/>
    <hyperlink ref="Z90" r:id="rId78" xr:uid="{443A043E-A637-40EF-BB20-2B82DD0C87C4}"/>
    <hyperlink ref="Z109" r:id="rId79" xr:uid="{404D6783-3578-42EB-9969-9B076EEAEDA3}"/>
    <hyperlink ref="Z107" r:id="rId80" xr:uid="{5DD0DAFD-3509-4027-9D50-462491F3393B}"/>
    <hyperlink ref="Z111" r:id="rId81" xr:uid="{2D1B8058-3B1C-45CE-AEA5-1E5A71B608E9}"/>
    <hyperlink ref="Z116" r:id="rId82" xr:uid="{2FF5B14E-C896-4C88-9DA3-B99A15102AA2}"/>
    <hyperlink ref="Z128" r:id="rId83" xr:uid="{C420DDF6-743C-41B6-BCB1-141D63810474}"/>
    <hyperlink ref="Z80" r:id="rId84" xr:uid="{F3E45A9F-0A47-44B1-9B1F-703558C0C90C}"/>
    <hyperlink ref="Z82" r:id="rId85" xr:uid="{5E149A5C-5D14-428F-A11A-52F99092B9A2}"/>
    <hyperlink ref="Z20" r:id="rId86" xr:uid="{D05D1A76-A76D-4DD0-B5DE-5DAB0A64595B}"/>
  </hyperlinks>
  <pageMargins left="0.70866141732283472" right="0.70866141732283472" top="0.74803149606299213" bottom="0.74803149606299213" header="0.31496062992125984" footer="0.31496062992125984"/>
  <pageSetup scale="39" orientation="landscape" r:id="rId87"/>
  <rowBreaks count="2" manualBreakCount="2">
    <brk id="33" max="51" man="1"/>
    <brk id="66" max="16383" man="1"/>
  </rowBreaks>
  <colBreaks count="2" manualBreakCount="2">
    <brk id="12" max="1048575" man="1"/>
    <brk id="25" max="190" man="1"/>
  </colBreaks>
  <legacyDrawing r:id="rId88"/>
  <tableParts count="1">
    <tablePart r:id="rId89"/>
  </tableParts>
  <extLst>
    <ext xmlns:x14="http://schemas.microsoft.com/office/spreadsheetml/2009/9/main" uri="{CCE6A557-97BC-4b89-ADB6-D9C93CAAB3DF}">
      <x14:dataValidations xmlns:xm="http://schemas.microsoft.com/office/excel/2006/main" count="8">
        <x14:dataValidation type="list" allowBlank="1" showInputMessage="1" showErrorMessage="1" xr:uid="{E98A9586-82EE-4E1D-89C3-161540910F36}">
          <x14:formula1>
            <xm:f>'[Plan de Adquisiciones ARN 2020  VER 3.xlsx]Listas'!#REF!</xm:f>
          </x14:formula1>
          <xm:sqref>A6:A28 A30:A182</xm:sqref>
        </x14:dataValidation>
        <x14:dataValidation type="list" allowBlank="1" showInputMessage="1" showErrorMessage="1" xr:uid="{C4A9822F-DAB7-49F3-8BDD-BAE0D90FA896}">
          <x14:formula1>
            <xm:f>'C:\Users\leonardovillamil\AppData\Local\Microsoft\Windows\INetCache\Content.Outlook\HMCHKIQZ\[Formulario Necesidades -PAA 2020 OAC 29-nov-2019 ALCANCE.xlsx]Listas'!#REF!</xm:f>
          </x14:formula1>
          <xm:sqref>S175:S178</xm:sqref>
        </x14:dataValidation>
        <x14:dataValidation type="list" allowBlank="1" showInputMessage="1" showErrorMessage="1" xr:uid="{87645828-FE95-4501-BDBA-E8AAAA82EE72}">
          <x14:formula1>
            <xm:f>'Z:\ARN\2019\PLAN DE ADQUISICIONES\Elaboracion PAA\PAA 2020\Necesidades Areas 2020\[Copia de 1 PAA DPR Actualizado a 03012020.xlsx]Listas'!#REF!</xm:f>
          </x14:formula1>
          <xm:sqref>I23</xm:sqref>
        </x14:dataValidation>
        <x14:dataValidation type="list" allowBlank="1" showInputMessage="1" showErrorMessage="1" xr:uid="{2372A816-92D9-4F54-B21F-4DEAF5E6B9DB}">
          <x14:formula1>
            <xm:f>'[Plan de Adquisiciones ARN 2020  VER 3.xlsx]Listas'!#REF!</xm:f>
          </x14:formula1>
          <xm:sqref>I6:I22 I24:I182</xm:sqref>
        </x14:dataValidation>
        <x14:dataValidation type="list" allowBlank="1" showInputMessage="1" showErrorMessage="1" xr:uid="{B951F9A9-0E59-4ABB-92F2-F8568576AB73}">
          <x14:formula1>
            <xm:f>'[Plan de Adquisiciones ARN 2020  VER 3.xlsx]Listas'!#REF!</xm:f>
          </x14:formula1>
          <xm:sqref>T6:T22 T24:T182</xm:sqref>
        </x14:dataValidation>
        <x14:dataValidation type="list" allowBlank="1" showInputMessage="1" showErrorMessage="1" xr:uid="{87CB5BEF-FFAC-4171-A634-FC98B4DAAC9A}">
          <x14:formula1>
            <xm:f>'C:\Users\leonardovillamil\Documents\ARN\PAA 2019\ELABORACION PAA 2020\Necesidades depencias\[Formulario Necesidades -PAA 2020 Planeacion.xlsx]Listas'!#REF!</xm:f>
          </x14:formula1>
          <xm:sqref>S92:S93</xm:sqref>
        </x14:dataValidation>
        <x14:dataValidation type="list" allowBlank="1" showInputMessage="1" showErrorMessage="1" xr:uid="{32B7623C-CBA2-4CC3-88F2-2B5C884CFE15}">
          <x14:formula1>
            <xm:f>'C:\Users\leonardovillamil\Documents\ARN\PAA 2019\ELABORACION PAA 2020\Necesidades depencias\[Formulario Necesidades -PAA 2020 financiera.xlsb]Listas'!#REF!</xm:f>
          </x14:formula1>
          <xm:sqref>S84</xm:sqref>
        </x14:dataValidation>
        <x14:dataValidation type="list" allowBlank="1" showInputMessage="1" showErrorMessage="1" xr:uid="{B776013F-5913-460D-B746-20F86CFB7995}">
          <x14:formula1>
            <xm:f>'C:\Users\carolinacastillo\Documents\DPR 2020\Plan Anual de Adquisiciones 2020\[201119 Consolidado PAA 2020 DPR V1_18112019.xlsx]Listas'!#REF!</xm:f>
          </x14:formula1>
          <xm:sqref>S11:S13 S7:S9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3CFCSSYJ6V66-57-121</_dlc_DocId>
    <_dlc_DocIdUrl xmlns="6e2a57a2-9d48-4009-82e5-3fe89fb6c543">
      <Url>https://pruportal.reincorporacion.gov.co/es/agencia/_layouts/15/DocIdRedir.aspx?ID=3CFCSSYJ6V66-57-121</Url>
      <Description>3CFCSSYJ6V66-57-121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B94645-94AC-4674-B1DB-5E0DEA36CDF8}"/>
</file>

<file path=customXml/itemProps2.xml><?xml version="1.0" encoding="utf-8"?>
<ds:datastoreItem xmlns:ds="http://schemas.openxmlformats.org/officeDocument/2006/customXml" ds:itemID="{0D682E47-12DD-4D86-93A1-0FAD172943A8}"/>
</file>

<file path=customXml/itemProps3.xml><?xml version="1.0" encoding="utf-8"?>
<ds:datastoreItem xmlns:ds="http://schemas.openxmlformats.org/officeDocument/2006/customXml" ds:itemID="{2CB07DA1-113D-43CF-926D-38946787533D}"/>
</file>

<file path=customXml/itemProps4.xml><?xml version="1.0" encoding="utf-8"?>
<ds:datastoreItem xmlns:ds="http://schemas.openxmlformats.org/officeDocument/2006/customXml" ds:itemID="{7BCDD510-7F6C-4164-94E7-A6C267F38D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modificación_3</dc:title>
  <dc:creator>Leonardo Segundo Villamil Huertas</dc:creator>
  <cp:lastModifiedBy>Leonardo Segundo Villamil Huertas</cp:lastModifiedBy>
  <dcterms:created xsi:type="dcterms:W3CDTF">2020-03-27T23:35:59Z</dcterms:created>
  <dcterms:modified xsi:type="dcterms:W3CDTF">2020-03-28T00:02:13Z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e9863f9f-b6db-4896-8726-ed1513bff6e8</vt:lpwstr>
  </property>
</Properties>
</file>